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0" yWindow="0" windowWidth="25440" windowHeight="13500" tabRatio="749"/>
  </bookViews>
  <sheets>
    <sheet name="Stammdaten" sheetId="11" r:id="rId1"/>
    <sheet name="Erg.-Übersicht" sheetId="14" r:id="rId2"/>
    <sheet name="A Flächen" sheetId="1" r:id="rId3"/>
    <sheet name="B_1 Geb. Kaltmiete" sheetId="2" r:id="rId4"/>
    <sheet name="B_2 Sonder-Infrastr." sheetId="12" r:id="rId5"/>
    <sheet name="C_1 Nebenk." sheetId="9" r:id="rId6"/>
    <sheet name="C_2 NK Sonder-Infrastr." sheetId="13" r:id="rId7"/>
    <sheet name="D Ausstatt." sheetId="3" r:id="rId8"/>
    <sheet name="E Mietber." sheetId="5" r:id="rId9"/>
    <sheet name="Zimmer-Kat." sheetId="15" r:id="rId10"/>
    <sheet name="Anl. Verw.kosten 2. BV" sheetId="10" r:id="rId11"/>
  </sheets>
  <definedNames>
    <definedName name="_xlnm.Print_Area" localSheetId="2">'A Flächen'!$A$1:$G$192</definedName>
    <definedName name="_xlnm.Print_Area" localSheetId="3">'B_1 Geb. Kaltmiete'!$A$1:$F$124</definedName>
    <definedName name="_xlnm.Print_Area" localSheetId="4">'B_2 Sonder-Infrastr.'!$A$1:$H$166</definedName>
    <definedName name="_xlnm.Print_Area" localSheetId="5">'C_1 Nebenk.'!$A$1:$F$40</definedName>
    <definedName name="_xlnm.Print_Area" localSheetId="6">'C_2 NK Sonder-Infrastr.'!$A$1:$E$36</definedName>
    <definedName name="_xlnm.Print_Area" localSheetId="7">'D Ausstatt.'!$A$1:$F$76</definedName>
    <definedName name="_xlnm.Print_Area" localSheetId="8">'E Mietber.'!$A$1:$I$48</definedName>
    <definedName name="_xlnm.Print_Area" localSheetId="1">'Erg.-Übersicht'!$A$1:$E$42</definedName>
    <definedName name="_xlnm.Print_Area" localSheetId="0">Stammdaten!$A$1:$D$40</definedName>
    <definedName name="_xlnm.Print_Area" localSheetId="9">'Zimmer-Kat.'!$A$1:$F$57</definedName>
  </definedNames>
  <calcPr calcId="145621"/>
</workbook>
</file>

<file path=xl/calcChain.xml><?xml version="1.0" encoding="utf-8"?>
<calcChain xmlns="http://schemas.openxmlformats.org/spreadsheetml/2006/main">
  <c r="C36" i="15" l="1"/>
  <c r="H30" i="5" l="1"/>
  <c r="E36" i="15"/>
  <c r="D36" i="15"/>
  <c r="B40" i="14" l="1"/>
  <c r="B41" i="14" s="1"/>
  <c r="D54" i="15"/>
  <c r="I10" i="5" l="1"/>
  <c r="H10" i="5"/>
  <c r="G10" i="5" l="1"/>
  <c r="D31" i="15"/>
  <c r="G13" i="2" l="1"/>
  <c r="G16" i="2" l="1"/>
  <c r="G11" i="2"/>
  <c r="H125" i="2"/>
  <c r="H124" i="2"/>
  <c r="I36" i="9"/>
  <c r="G7" i="9" l="1"/>
  <c r="G6" i="9"/>
  <c r="G12" i="2"/>
  <c r="F9" i="9"/>
  <c r="F8" i="9"/>
  <c r="E9" i="9"/>
  <c r="E8" i="9"/>
  <c r="E7" i="9"/>
  <c r="E6" i="9"/>
  <c r="G6" i="2"/>
  <c r="E15" i="2"/>
  <c r="E14" i="2"/>
  <c r="E13" i="2"/>
  <c r="E12" i="2"/>
  <c r="E9" i="1" l="1"/>
  <c r="A3" i="1"/>
  <c r="H22" i="5" l="1"/>
  <c r="E26" i="2" l="1"/>
  <c r="G26" i="2" s="1"/>
  <c r="C47" i="2" l="1"/>
  <c r="C46" i="2"/>
  <c r="C45" i="2"/>
  <c r="C44" i="2"/>
  <c r="I24" i="15" l="1"/>
  <c r="I23" i="15"/>
  <c r="I22" i="15"/>
  <c r="I14" i="15"/>
  <c r="I16" i="15"/>
  <c r="I15" i="15"/>
  <c r="H93" i="2"/>
  <c r="H34" i="2"/>
  <c r="I28" i="2"/>
  <c r="I27" i="2"/>
  <c r="F10" i="2" l="1"/>
  <c r="E8" i="2" l="1"/>
  <c r="E9" i="2"/>
  <c r="A16" i="15"/>
  <c r="E47" i="2" l="1"/>
  <c r="E46" i="2"/>
  <c r="E45" i="2"/>
  <c r="E44" i="2"/>
  <c r="E31" i="15" l="1"/>
  <c r="D44" i="2"/>
  <c r="B17" i="14"/>
  <c r="C27" i="15"/>
  <c r="E25" i="15"/>
  <c r="D25" i="15"/>
  <c r="C25" i="15"/>
  <c r="C31" i="15" l="1"/>
  <c r="E13" i="15"/>
  <c r="E21" i="15" l="1"/>
  <c r="E20" i="15"/>
  <c r="E7" i="15" l="1"/>
  <c r="F2" i="15"/>
  <c r="F27" i="15" l="1"/>
  <c r="D14" i="15"/>
  <c r="D27" i="15" s="1"/>
  <c r="D22" i="15"/>
  <c r="E27" i="15" s="1"/>
  <c r="F51" i="3"/>
  <c r="E50" i="3"/>
  <c r="E49" i="3"/>
  <c r="F48" i="3"/>
  <c r="F47" i="3"/>
  <c r="E46" i="3"/>
  <c r="E45" i="3"/>
  <c r="E44" i="3"/>
  <c r="E43" i="3"/>
  <c r="E42" i="3"/>
  <c r="E41" i="3"/>
  <c r="E40" i="3"/>
  <c r="E39" i="3"/>
  <c r="E38" i="3"/>
  <c r="E37" i="3"/>
  <c r="E36" i="3"/>
  <c r="E35" i="3"/>
  <c r="E34" i="3"/>
  <c r="E33" i="3"/>
  <c r="E32" i="3"/>
  <c r="E31" i="3"/>
  <c r="E30" i="3"/>
  <c r="E29" i="3"/>
  <c r="E28" i="3"/>
  <c r="F27" i="3"/>
  <c r="F26" i="3"/>
  <c r="E25" i="3"/>
  <c r="F24" i="3"/>
  <c r="E23" i="3"/>
  <c r="E22" i="3"/>
  <c r="E21" i="3"/>
  <c r="E20" i="3"/>
  <c r="E19" i="3"/>
  <c r="E18" i="3"/>
  <c r="F17" i="3"/>
  <c r="F16" i="3"/>
  <c r="F15" i="3"/>
  <c r="F14" i="3"/>
  <c r="F13" i="3"/>
  <c r="E12" i="3"/>
  <c r="E11" i="3"/>
  <c r="E10" i="3"/>
  <c r="E9" i="3"/>
  <c r="E8" i="3"/>
  <c r="E7" i="3"/>
  <c r="B34" i="13"/>
  <c r="C38" i="9"/>
  <c r="F34" i="9"/>
  <c r="I34" i="9" s="1"/>
  <c r="H27" i="15" l="1"/>
  <c r="D15" i="15"/>
  <c r="H14" i="15" s="1"/>
  <c r="D23" i="15"/>
  <c r="H22" i="15" s="1"/>
  <c r="B75" i="12"/>
  <c r="C72" i="12"/>
  <c r="H2" i="12" l="1"/>
  <c r="B155" i="12" l="1"/>
  <c r="B154" i="12" l="1"/>
  <c r="C3" i="12" l="1"/>
  <c r="A3" i="12"/>
  <c r="C46" i="12" l="1"/>
  <c r="C49" i="12" s="1"/>
  <c r="D49" i="12" s="1"/>
  <c r="D72" i="12"/>
  <c r="E72" i="12" s="1"/>
  <c r="B130" i="12" s="1"/>
  <c r="B156" i="12"/>
  <c r="A140" i="12"/>
  <c r="A139" i="12"/>
  <c r="A138" i="12"/>
  <c r="A137" i="12"/>
  <c r="C133" i="12"/>
  <c r="A133" i="12"/>
  <c r="C132" i="12"/>
  <c r="A132" i="12"/>
  <c r="C131" i="12"/>
  <c r="A131" i="12"/>
  <c r="C130" i="12"/>
  <c r="A130" i="12"/>
  <c r="A126" i="12"/>
  <c r="A125" i="12"/>
  <c r="A124" i="12"/>
  <c r="A116" i="12"/>
  <c r="A115" i="12"/>
  <c r="A114" i="12"/>
  <c r="A110" i="12"/>
  <c r="A109" i="12"/>
  <c r="A108" i="12"/>
  <c r="B98" i="12"/>
  <c r="A98" i="12"/>
  <c r="B96" i="12"/>
  <c r="B95" i="12"/>
  <c r="B94" i="12"/>
  <c r="B90" i="12"/>
  <c r="A90" i="12"/>
  <c r="A96" i="12" s="1"/>
  <c r="B89" i="12"/>
  <c r="A89" i="12"/>
  <c r="A95" i="12" s="1"/>
  <c r="B88" i="12"/>
  <c r="A88" i="12"/>
  <c r="A94" i="12" s="1"/>
  <c r="E71" i="12"/>
  <c r="D65" i="12"/>
  <c r="D59" i="12"/>
  <c r="D47" i="12"/>
  <c r="D42" i="12"/>
  <c r="D40" i="12"/>
  <c r="D39" i="12"/>
  <c r="B36" i="12"/>
  <c r="G28" i="12"/>
  <c r="F28" i="12"/>
  <c r="E28" i="12"/>
  <c r="D28" i="12"/>
  <c r="C28" i="12"/>
  <c r="H27" i="12"/>
  <c r="H26" i="12"/>
  <c r="H25" i="12"/>
  <c r="H24" i="12"/>
  <c r="H23" i="12"/>
  <c r="H22" i="12"/>
  <c r="H21" i="12"/>
  <c r="G19" i="12"/>
  <c r="F19" i="12"/>
  <c r="E19" i="12"/>
  <c r="D19" i="12"/>
  <c r="C19" i="12"/>
  <c r="H18" i="12"/>
  <c r="H17" i="12"/>
  <c r="H16" i="12"/>
  <c r="H15" i="12"/>
  <c r="H14" i="12"/>
  <c r="H13" i="12"/>
  <c r="H12" i="12"/>
  <c r="H11" i="12"/>
  <c r="H10" i="12"/>
  <c r="H9" i="12"/>
  <c r="C90" i="2"/>
  <c r="C89" i="2"/>
  <c r="C29" i="12" l="1"/>
  <c r="C32" i="13"/>
  <c r="G29" i="12"/>
  <c r="D83" i="12" s="1"/>
  <c r="D98" i="12" s="1"/>
  <c r="D147" i="12" s="1"/>
  <c r="D160" i="12" s="1"/>
  <c r="F29" i="12"/>
  <c r="H28" i="12"/>
  <c r="D29" i="12"/>
  <c r="D80" i="12" s="1"/>
  <c r="E29" i="12"/>
  <c r="D81" i="12" s="1"/>
  <c r="D82" i="12"/>
  <c r="D67" i="12"/>
  <c r="C48" i="12"/>
  <c r="D48" i="12" s="1"/>
  <c r="D91" i="12"/>
  <c r="K91" i="12" s="1"/>
  <c r="H19" i="12"/>
  <c r="B41" i="12"/>
  <c r="D79" i="12"/>
  <c r="B138" i="12"/>
  <c r="D138" i="12" s="1"/>
  <c r="B126" i="12"/>
  <c r="B124" i="12"/>
  <c r="D116" i="12"/>
  <c r="D114" i="12"/>
  <c r="B139" i="12"/>
  <c r="B133" i="12"/>
  <c r="B131" i="12"/>
  <c r="D131" i="12" s="1"/>
  <c r="D109" i="12"/>
  <c r="B140" i="12"/>
  <c r="D140" i="12" s="1"/>
  <c r="B125" i="12"/>
  <c r="D115" i="12"/>
  <c r="D110" i="12"/>
  <c r="D108" i="12"/>
  <c r="D67" i="2"/>
  <c r="D99" i="2" s="1"/>
  <c r="C90" i="12" l="1"/>
  <c r="D90" i="12" s="1"/>
  <c r="D96" i="12" s="1"/>
  <c r="C89" i="12"/>
  <c r="D89" i="12" s="1"/>
  <c r="D95" i="12" s="1"/>
  <c r="D84" i="12"/>
  <c r="D102" i="12" s="1"/>
  <c r="D104" i="12" s="1"/>
  <c r="D148" i="12" s="1"/>
  <c r="D161" i="12" s="1"/>
  <c r="H29" i="12"/>
  <c r="K29" i="12" s="1"/>
  <c r="C88" i="12"/>
  <c r="D111" i="12"/>
  <c r="K111" i="12" s="1"/>
  <c r="B127" i="12"/>
  <c r="K127" i="12" s="1"/>
  <c r="D139" i="12"/>
  <c r="D130" i="12"/>
  <c r="D117" i="12"/>
  <c r="D41" i="12"/>
  <c r="D43" i="12" s="1"/>
  <c r="B132" i="12"/>
  <c r="B43" i="12"/>
  <c r="G61" i="1"/>
  <c r="F61" i="1"/>
  <c r="E61" i="1"/>
  <c r="G60" i="1"/>
  <c r="F60" i="1"/>
  <c r="E60" i="1"/>
  <c r="C91" i="12" l="1"/>
  <c r="B46" i="12"/>
  <c r="D46" i="12" s="1"/>
  <c r="D50" i="12" s="1"/>
  <c r="D52" i="12" s="1"/>
  <c r="K84" i="12"/>
  <c r="D88" i="12"/>
  <c r="D94" i="12" s="1"/>
  <c r="D99" i="12" s="1"/>
  <c r="D119" i="12"/>
  <c r="K117" i="12"/>
  <c r="C43" i="12"/>
  <c r="D132" i="12"/>
  <c r="D134" i="12" s="1"/>
  <c r="B134" i="12"/>
  <c r="K134" i="12" s="1"/>
  <c r="B50" i="12" l="1"/>
  <c r="B52" i="12" s="1"/>
  <c r="C134" i="12"/>
  <c r="D146" i="12"/>
  <c r="D159" i="12" s="1"/>
  <c r="D149" i="12"/>
  <c r="D162" i="12" s="1"/>
  <c r="K119" i="12"/>
  <c r="B137" i="12"/>
  <c r="B141" i="12" l="1"/>
  <c r="D137" i="12"/>
  <c r="D141" i="12" s="1"/>
  <c r="D143" i="12" s="1"/>
  <c r="D150" i="12" s="1"/>
  <c r="D147" i="1"/>
  <c r="D164" i="1" s="1"/>
  <c r="G146" i="1"/>
  <c r="G145" i="1"/>
  <c r="G144" i="1"/>
  <c r="G143" i="1"/>
  <c r="G142" i="1"/>
  <c r="G141" i="1"/>
  <c r="G140" i="1"/>
  <c r="G139" i="1"/>
  <c r="G138" i="1"/>
  <c r="G137" i="1"/>
  <c r="G136" i="1"/>
  <c r="G135" i="1"/>
  <c r="G134" i="1"/>
  <c r="G133" i="1"/>
  <c r="G132" i="1"/>
  <c r="D127" i="1"/>
  <c r="D159" i="1" l="1"/>
  <c r="G147" i="1"/>
  <c r="B143" i="12"/>
  <c r="K143" i="12" s="1"/>
  <c r="K141" i="12"/>
  <c r="D163" i="12"/>
  <c r="D164" i="12" s="1"/>
  <c r="D165" i="12" s="1"/>
  <c r="D151" i="12"/>
  <c r="C141" i="12"/>
  <c r="D27" i="2" l="1"/>
  <c r="H27" i="2" s="1"/>
  <c r="H28" i="2" s="1"/>
  <c r="C37" i="9"/>
  <c r="C39" i="9" s="1"/>
  <c r="C40" i="9" l="1"/>
  <c r="I41" i="9" s="1"/>
  <c r="E2" i="14"/>
  <c r="D8" i="14" l="1"/>
  <c r="I2" i="5" l="1"/>
  <c r="F2" i="3"/>
  <c r="F2" i="9"/>
  <c r="F2" i="2"/>
  <c r="G2" i="1"/>
  <c r="C61" i="3" l="1"/>
  <c r="E36" i="9" l="1"/>
  <c r="E35" i="9"/>
  <c r="E34" i="9"/>
  <c r="E54" i="3" l="1"/>
  <c r="F35" i="9"/>
  <c r="I35" i="9" s="1"/>
  <c r="D62" i="3" l="1"/>
  <c r="D14" i="13" l="1"/>
  <c r="E14" i="13"/>
  <c r="B82" i="2" l="1"/>
  <c r="B76" i="2" l="1"/>
  <c r="D81" i="2"/>
  <c r="B84" i="2"/>
  <c r="C30" i="13" l="1"/>
  <c r="E29" i="13"/>
  <c r="D29" i="13"/>
  <c r="A3" i="13"/>
  <c r="E9" i="13" l="1"/>
  <c r="E13" i="13"/>
  <c r="E17" i="13"/>
  <c r="E21" i="13"/>
  <c r="E23" i="13"/>
  <c r="E25" i="13"/>
  <c r="E27" i="13"/>
  <c r="D10" i="13"/>
  <c r="D12" i="13"/>
  <c r="D16" i="13"/>
  <c r="D18" i="13"/>
  <c r="D20" i="13"/>
  <c r="D22" i="13"/>
  <c r="D24" i="13"/>
  <c r="D26" i="13"/>
  <c r="D28" i="13"/>
  <c r="E10" i="13"/>
  <c r="E12" i="13"/>
  <c r="E16" i="13"/>
  <c r="E18" i="13"/>
  <c r="E20" i="13"/>
  <c r="E22" i="13"/>
  <c r="E24" i="13"/>
  <c r="E26" i="13"/>
  <c r="E28" i="13"/>
  <c r="E11" i="13"/>
  <c r="E15" i="13"/>
  <c r="E19" i="13"/>
  <c r="D9" i="13"/>
  <c r="D11" i="13"/>
  <c r="D13" i="13"/>
  <c r="D15" i="13"/>
  <c r="D17" i="13"/>
  <c r="D19" i="13"/>
  <c r="D21" i="13"/>
  <c r="D23" i="13"/>
  <c r="D25" i="13"/>
  <c r="D27" i="13"/>
  <c r="E30" i="13" l="1"/>
  <c r="D30" i="13"/>
  <c r="H14" i="5" s="1"/>
  <c r="D31" i="2"/>
  <c r="D33" i="15" l="1"/>
  <c r="C33" i="15"/>
  <c r="E33" i="15"/>
  <c r="B19" i="14"/>
  <c r="H30" i="13"/>
  <c r="A3" i="10" l="1"/>
  <c r="F29" i="5"/>
  <c r="A3" i="5"/>
  <c r="C74" i="3"/>
  <c r="C75" i="3" s="1"/>
  <c r="D70" i="3"/>
  <c r="D54" i="3"/>
  <c r="A3" i="3"/>
  <c r="A3" i="9"/>
  <c r="B60" i="3" l="1"/>
  <c r="B61" i="3" s="1"/>
  <c r="D61" i="3" s="1"/>
  <c r="D63" i="3" s="1"/>
  <c r="D65" i="3"/>
  <c r="D56" i="3"/>
  <c r="D32" i="2" l="1"/>
  <c r="D33" i="2"/>
  <c r="B87" i="2"/>
  <c r="B91" i="2" s="1"/>
  <c r="A3" i="2"/>
  <c r="G106" i="1"/>
  <c r="F106" i="1"/>
  <c r="E106" i="1"/>
  <c r="G105" i="1"/>
  <c r="F105" i="1"/>
  <c r="E105" i="1"/>
  <c r="G103" i="1"/>
  <c r="F103" i="1"/>
  <c r="E103" i="1"/>
  <c r="G102" i="1"/>
  <c r="F102" i="1"/>
  <c r="E102" i="1"/>
  <c r="G101" i="1"/>
  <c r="F101" i="1"/>
  <c r="E101" i="1"/>
  <c r="G100" i="1"/>
  <c r="F100" i="1"/>
  <c r="E100" i="1"/>
  <c r="G99" i="1"/>
  <c r="F99" i="1"/>
  <c r="E99" i="1"/>
  <c r="G98" i="1"/>
  <c r="F98" i="1"/>
  <c r="E98" i="1"/>
  <c r="G97" i="1"/>
  <c r="F97" i="1"/>
  <c r="E97" i="1"/>
  <c r="G96" i="1"/>
  <c r="F96" i="1"/>
  <c r="E96" i="1"/>
  <c r="G95" i="1"/>
  <c r="F95" i="1"/>
  <c r="E95" i="1"/>
  <c r="G51" i="1"/>
  <c r="G65" i="1"/>
  <c r="G64" i="1"/>
  <c r="G63" i="1"/>
  <c r="G62" i="1"/>
  <c r="G59" i="1"/>
  <c r="G58" i="1"/>
  <c r="G57" i="1"/>
  <c r="G56" i="1"/>
  <c r="G55" i="1"/>
  <c r="G54" i="1"/>
  <c r="G53" i="1"/>
  <c r="G52"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90" i="1"/>
  <c r="G89" i="1"/>
  <c r="G88" i="1"/>
  <c r="G87" i="1"/>
  <c r="G86" i="1"/>
  <c r="G85" i="1"/>
  <c r="G84" i="1"/>
  <c r="G83" i="1"/>
  <c r="G82" i="1"/>
  <c r="G81" i="1"/>
  <c r="G80" i="1"/>
  <c r="G79" i="1"/>
  <c r="G78" i="1"/>
  <c r="G77" i="1"/>
  <c r="G76" i="1"/>
  <c r="G75" i="1"/>
  <c r="G74" i="1"/>
  <c r="G73" i="1"/>
  <c r="G72" i="1"/>
  <c r="G71" i="1"/>
  <c r="G70" i="1"/>
  <c r="D107" i="1"/>
  <c r="D91" i="1"/>
  <c r="D188" i="1" s="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D66" i="1"/>
  <c r="D184" i="1" s="1"/>
  <c r="F65" i="1"/>
  <c r="E65" i="1"/>
  <c r="F64" i="1"/>
  <c r="E64" i="1"/>
  <c r="F63" i="1"/>
  <c r="E63" i="1"/>
  <c r="F62" i="1"/>
  <c r="E62"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B3" i="11"/>
  <c r="A3" i="11"/>
  <c r="B3" i="14" l="1"/>
  <c r="D3" i="15"/>
  <c r="A3" i="14"/>
  <c r="A3" i="15"/>
  <c r="D155" i="1"/>
  <c r="C11" i="14" s="1"/>
  <c r="D154" i="1"/>
  <c r="B11" i="14" s="1"/>
  <c r="D156" i="1"/>
  <c r="D149" i="1"/>
  <c r="D152" i="1" s="1"/>
  <c r="D59" i="2"/>
  <c r="D61" i="2" s="1"/>
  <c r="C32" i="2"/>
  <c r="C3" i="2"/>
  <c r="B3" i="13"/>
  <c r="C31" i="2"/>
  <c r="C3" i="1"/>
  <c r="C3" i="3"/>
  <c r="B3" i="10"/>
  <c r="B3" i="9"/>
  <c r="D3" i="5"/>
  <c r="C33" i="2"/>
  <c r="D34" i="2"/>
  <c r="I34" i="2" s="1"/>
  <c r="F104" i="1"/>
  <c r="F107" i="1" s="1"/>
  <c r="G104" i="1"/>
  <c r="G107" i="1" s="1"/>
  <c r="E104" i="1"/>
  <c r="E107" i="1" s="1"/>
  <c r="G66" i="1"/>
  <c r="G91" i="1"/>
  <c r="E91" i="1"/>
  <c r="F91" i="1"/>
  <c r="F66" i="1"/>
  <c r="E66" i="1"/>
  <c r="D11" i="14" l="1"/>
  <c r="G11" i="14" s="1"/>
  <c r="J66" i="1"/>
  <c r="J91" i="1"/>
  <c r="J107" i="1"/>
  <c r="G154" i="1"/>
  <c r="G155" i="1"/>
  <c r="F155" i="1"/>
  <c r="D157" i="1"/>
  <c r="E156" i="1" s="1"/>
  <c r="E152" i="1"/>
  <c r="F154" i="1"/>
  <c r="E154" i="1" l="1"/>
  <c r="E160" i="1" s="1"/>
  <c r="D160" i="1" s="1"/>
  <c r="F160" i="1" s="1"/>
  <c r="E109" i="1"/>
  <c r="E112" i="1" s="1"/>
  <c r="E155" i="1"/>
  <c r="E157" i="1" s="1"/>
  <c r="E165" i="1"/>
  <c r="D165" i="1" s="1"/>
  <c r="F165" i="1" s="1"/>
  <c r="E166" i="1"/>
  <c r="D166" i="1" s="1"/>
  <c r="F166" i="1" s="1"/>
  <c r="E162" i="1"/>
  <c r="D162" i="1" s="1"/>
  <c r="D171" i="1" s="1"/>
  <c r="B104" i="2"/>
  <c r="B106" i="2" s="1"/>
  <c r="D174" i="1" l="1"/>
  <c r="B12" i="14" s="1"/>
  <c r="D169" i="1"/>
  <c r="D185" i="1"/>
  <c r="D186" i="1" s="1"/>
  <c r="F185" i="1" s="1"/>
  <c r="E161" i="1"/>
  <c r="D161" i="1" s="1"/>
  <c r="F109" i="1"/>
  <c r="E117" i="1"/>
  <c r="E125" i="1"/>
  <c r="E124" i="1"/>
  <c r="E119" i="1"/>
  <c r="E116" i="1"/>
  <c r="E114" i="1"/>
  <c r="E115" i="1"/>
  <c r="E118" i="1"/>
  <c r="E123" i="1"/>
  <c r="E122" i="1"/>
  <c r="E121" i="1"/>
  <c r="E126" i="1"/>
  <c r="E113" i="1"/>
  <c r="E120" i="1"/>
  <c r="G109" i="1"/>
  <c r="D80" i="2"/>
  <c r="D79" i="2"/>
  <c r="D90" i="2"/>
  <c r="D89" i="2"/>
  <c r="D88" i="2"/>
  <c r="D83" i="2"/>
  <c r="D49" i="2"/>
  <c r="B49" i="2"/>
  <c r="A49" i="2"/>
  <c r="B47" i="2"/>
  <c r="B46" i="2"/>
  <c r="B45" i="2"/>
  <c r="B44" i="2"/>
  <c r="C40" i="2"/>
  <c r="B40" i="2"/>
  <c r="C39" i="2"/>
  <c r="B39" i="2"/>
  <c r="C38" i="2"/>
  <c r="B38" i="2"/>
  <c r="B37" i="2"/>
  <c r="A37" i="2"/>
  <c r="A44" i="2" s="1"/>
  <c r="C34" i="2"/>
  <c r="B33" i="2"/>
  <c r="A33" i="2"/>
  <c r="A40" i="2" s="1"/>
  <c r="A47" i="2" s="1"/>
  <c r="B32" i="2"/>
  <c r="A32" i="2"/>
  <c r="A39" i="2" s="1"/>
  <c r="A46" i="2" s="1"/>
  <c r="B31" i="2"/>
  <c r="A31" i="2"/>
  <c r="A38" i="2" s="1"/>
  <c r="A45" i="2" s="1"/>
  <c r="F174" i="1" l="1"/>
  <c r="D175" i="1"/>
  <c r="C12" i="14" s="1"/>
  <c r="D12" i="14" s="1"/>
  <c r="D170" i="1"/>
  <c r="D172" i="1"/>
  <c r="E171" i="1" s="1"/>
  <c r="F161" i="1"/>
  <c r="D189" i="1"/>
  <c r="D190" i="1" s="1"/>
  <c r="J190" i="1" s="1"/>
  <c r="J166" i="1"/>
  <c r="F184" i="1"/>
  <c r="F186" i="1" s="1"/>
  <c r="E127" i="1"/>
  <c r="G123" i="1"/>
  <c r="G114" i="1"/>
  <c r="G125" i="1"/>
  <c r="G120" i="1"/>
  <c r="G126" i="1"/>
  <c r="G124" i="1"/>
  <c r="G121" i="1"/>
  <c r="G115" i="1"/>
  <c r="G122" i="1"/>
  <c r="G116" i="1"/>
  <c r="G117" i="1"/>
  <c r="G119" i="1"/>
  <c r="G118" i="1"/>
  <c r="G112" i="1"/>
  <c r="G113" i="1"/>
  <c r="F113" i="1"/>
  <c r="F115" i="1"/>
  <c r="F118" i="1"/>
  <c r="F121" i="1"/>
  <c r="F124" i="1"/>
  <c r="F123" i="1"/>
  <c r="F117" i="1"/>
  <c r="F125" i="1"/>
  <c r="F120" i="1"/>
  <c r="F122" i="1"/>
  <c r="F114" i="1"/>
  <c r="F112" i="1"/>
  <c r="F116" i="1"/>
  <c r="F119" i="1"/>
  <c r="F126" i="1"/>
  <c r="C84" i="2"/>
  <c r="C41" i="2"/>
  <c r="D41" i="2"/>
  <c r="D40" i="2" s="1"/>
  <c r="D47" i="2" s="1"/>
  <c r="D82" i="2"/>
  <c r="D84" i="2" s="1"/>
  <c r="F175" i="1" l="1"/>
  <c r="F176" i="1" s="1"/>
  <c r="D176" i="1"/>
  <c r="J176" i="1" s="1"/>
  <c r="D192" i="1"/>
  <c r="E190" i="1" s="1"/>
  <c r="G12" i="14"/>
  <c r="F127" i="1"/>
  <c r="G127" i="1"/>
  <c r="D38" i="2"/>
  <c r="D39" i="2"/>
  <c r="D46" i="2" s="1"/>
  <c r="D98" i="2"/>
  <c r="E185" i="1" l="1"/>
  <c r="E175" i="1"/>
  <c r="E174" i="1"/>
  <c r="E108" i="2" s="1"/>
  <c r="E169" i="1"/>
  <c r="E170" i="1"/>
  <c r="E184" i="1"/>
  <c r="F15" i="2"/>
  <c r="J172" i="1"/>
  <c r="J127" i="1"/>
  <c r="F14" i="2"/>
  <c r="G149" i="1"/>
  <c r="J171" i="1" s="1"/>
  <c r="D55" i="2"/>
  <c r="D45" i="2"/>
  <c r="B93" i="2"/>
  <c r="I93" i="2" s="1"/>
  <c r="D87" i="2"/>
  <c r="D91" i="2" s="1"/>
  <c r="E186" i="1" l="1"/>
  <c r="E172" i="1"/>
  <c r="F6" i="9"/>
  <c r="E129" i="1"/>
  <c r="D13" i="9"/>
  <c r="F7" i="9"/>
  <c r="F13" i="9"/>
  <c r="F108" i="2"/>
  <c r="F13" i="2"/>
  <c r="F12" i="2"/>
  <c r="E68" i="3"/>
  <c r="E69" i="3"/>
  <c r="F69" i="3"/>
  <c r="F68" i="3"/>
  <c r="F129" i="1"/>
  <c r="E176" i="1"/>
  <c r="D93" i="2"/>
  <c r="D100" i="2" s="1"/>
  <c r="F145" i="1" l="1"/>
  <c r="F141" i="1"/>
  <c r="F137" i="1"/>
  <c r="F133" i="1"/>
  <c r="F143" i="1"/>
  <c r="F144" i="1"/>
  <c r="F132" i="1"/>
  <c r="F146" i="1"/>
  <c r="F142" i="1"/>
  <c r="F138" i="1"/>
  <c r="F134" i="1"/>
  <c r="F139" i="1"/>
  <c r="F135" i="1"/>
  <c r="F140" i="1"/>
  <c r="F136" i="1"/>
  <c r="E140" i="1"/>
  <c r="E142" i="1"/>
  <c r="E137" i="1"/>
  <c r="E139" i="1"/>
  <c r="E136" i="1"/>
  <c r="E134" i="1"/>
  <c r="E133" i="1"/>
  <c r="E135" i="1"/>
  <c r="E132" i="1"/>
  <c r="E145" i="1"/>
  <c r="E138" i="1"/>
  <c r="E144" i="1"/>
  <c r="E146" i="1"/>
  <c r="E141" i="1"/>
  <c r="E143" i="1"/>
  <c r="F147" i="1" l="1"/>
  <c r="E147" i="1"/>
  <c r="E149" i="1" s="1"/>
  <c r="J169" i="1" l="1"/>
  <c r="J174" i="1"/>
  <c r="J147" i="1"/>
  <c r="F149" i="1"/>
  <c r="J175" i="1" s="1"/>
  <c r="J170" i="1" l="1"/>
  <c r="J149" i="1"/>
  <c r="E55" i="3"/>
  <c r="C7" i="10"/>
  <c r="C8" i="10" s="1"/>
  <c r="C9" i="10" s="1"/>
  <c r="C10" i="10" s="1"/>
  <c r="C11" i="10" s="1"/>
  <c r="C12" i="10" s="1"/>
  <c r="C13" i="10" s="1"/>
  <c r="C14" i="10" s="1"/>
  <c r="B120" i="2" s="1"/>
  <c r="D120" i="2" s="1"/>
  <c r="F54" i="3"/>
  <c r="I54" i="3" s="1"/>
  <c r="E65" i="3"/>
  <c r="E56" i="3"/>
  <c r="D113" i="2"/>
  <c r="D112" i="2"/>
  <c r="D110" i="2"/>
  <c r="D111" i="2"/>
  <c r="E53" i="15" l="1"/>
  <c r="D53" i="15"/>
  <c r="C53" i="15"/>
  <c r="B38" i="14"/>
  <c r="E62" i="3"/>
  <c r="E61" i="3"/>
  <c r="F55" i="3"/>
  <c r="F56" i="3"/>
  <c r="F65" i="3"/>
  <c r="E63" i="3" l="1"/>
  <c r="F62" i="3"/>
  <c r="F61" i="3"/>
  <c r="D72" i="3"/>
  <c r="D76" i="3" s="1"/>
  <c r="D54" i="2"/>
  <c r="D50" i="2"/>
  <c r="D51" i="2"/>
  <c r="D96" i="2" s="1"/>
  <c r="D109" i="2" l="1"/>
  <c r="F63" i="3"/>
  <c r="I63" i="3" s="1"/>
  <c r="D101" i="2"/>
  <c r="D56" i="2"/>
  <c r="D114" i="2" l="1"/>
  <c r="D115" i="2" s="1"/>
  <c r="D116" i="2" s="1"/>
  <c r="D121" i="2" s="1"/>
  <c r="D122" i="2" s="1"/>
  <c r="D124" i="2" s="1"/>
  <c r="F124" i="2" l="1"/>
  <c r="E124" i="2"/>
  <c r="H8" i="5" s="1"/>
  <c r="D32" i="9" l="1"/>
  <c r="E32" i="9" s="1"/>
  <c r="E116" i="2"/>
  <c r="C33" i="13"/>
  <c r="F116" i="2"/>
  <c r="F32" i="9"/>
  <c r="F70" i="3"/>
  <c r="F72" i="3" s="1"/>
  <c r="F76" i="3" s="1"/>
  <c r="C35" i="13" l="1"/>
  <c r="C36" i="13" s="1"/>
  <c r="H37" i="13" s="1"/>
  <c r="D16" i="9"/>
  <c r="E16" i="9" s="1"/>
  <c r="D15" i="9"/>
  <c r="E15" i="9" s="1"/>
  <c r="D24" i="9"/>
  <c r="E24" i="9" s="1"/>
  <c r="D20" i="9"/>
  <c r="E20" i="9" s="1"/>
  <c r="D27" i="9"/>
  <c r="E27" i="9" s="1"/>
  <c r="E54" i="15" s="1"/>
  <c r="D21" i="9"/>
  <c r="E21" i="9" s="1"/>
  <c r="D30" i="9"/>
  <c r="E30" i="9" s="1"/>
  <c r="D18" i="9"/>
  <c r="E18" i="9" s="1"/>
  <c r="D25" i="9"/>
  <c r="E25" i="9" s="1"/>
  <c r="D19" i="9"/>
  <c r="E19" i="9" s="1"/>
  <c r="D28" i="9"/>
  <c r="E28" i="9" s="1"/>
  <c r="D31" i="9"/>
  <c r="E31" i="9" s="1"/>
  <c r="D14" i="9"/>
  <c r="D26" i="9"/>
  <c r="E26" i="9" s="1"/>
  <c r="D23" i="9"/>
  <c r="E23" i="9" s="1"/>
  <c r="D29" i="9"/>
  <c r="E29" i="9" s="1"/>
  <c r="D17" i="9"/>
  <c r="E17" i="9" s="1"/>
  <c r="D22" i="9"/>
  <c r="E22" i="9" s="1"/>
  <c r="E6" i="15"/>
  <c r="E122" i="2"/>
  <c r="I124" i="2" s="1"/>
  <c r="E33" i="13"/>
  <c r="D33" i="13"/>
  <c r="E70" i="3"/>
  <c r="E72" i="3" s="1"/>
  <c r="F27" i="9"/>
  <c r="F29" i="9"/>
  <c r="F19" i="9"/>
  <c r="F21" i="9"/>
  <c r="I8" i="5"/>
  <c r="F122" i="2"/>
  <c r="I125" i="2" s="1"/>
  <c r="F30" i="9"/>
  <c r="F31" i="9"/>
  <c r="F16" i="9"/>
  <c r="F18" i="9"/>
  <c r="F26" i="9"/>
  <c r="F17" i="9"/>
  <c r="F24" i="9"/>
  <c r="F23" i="9"/>
  <c r="F14" i="9"/>
  <c r="F28" i="9"/>
  <c r="F25" i="9"/>
  <c r="F22" i="9"/>
  <c r="F20" i="9"/>
  <c r="F15" i="9"/>
  <c r="B37" i="14" l="1"/>
  <c r="D52" i="15"/>
  <c r="C52" i="15"/>
  <c r="E52" i="15"/>
  <c r="F28" i="15"/>
  <c r="G8" i="5"/>
  <c r="E14" i="9"/>
  <c r="I33" i="9"/>
  <c r="C28" i="15"/>
  <c r="B39" i="14"/>
  <c r="C54" i="15"/>
  <c r="C15" i="14"/>
  <c r="F29" i="15"/>
  <c r="E8" i="15"/>
  <c r="G14" i="5"/>
  <c r="E35" i="13"/>
  <c r="E36" i="13" s="1"/>
  <c r="I14" i="5" s="1"/>
  <c r="D35" i="13"/>
  <c r="D36" i="13" s="1"/>
  <c r="E76" i="3"/>
  <c r="F37" i="9"/>
  <c r="F39" i="9" s="1"/>
  <c r="D37" i="9"/>
  <c r="D39" i="9" s="1"/>
  <c r="C14" i="14"/>
  <c r="B14" i="14"/>
  <c r="H33" i="13"/>
  <c r="C14" i="15" l="1"/>
  <c r="C15" i="15" s="1"/>
  <c r="H15" i="15" s="1"/>
  <c r="B15" i="14"/>
  <c r="D15" i="14" s="1"/>
  <c r="G15" i="14" s="1"/>
  <c r="D29" i="15"/>
  <c r="D51" i="15" s="1"/>
  <c r="E29" i="15"/>
  <c r="E51" i="15" s="1"/>
  <c r="C29" i="15"/>
  <c r="C51" i="15" s="1"/>
  <c r="F33" i="15"/>
  <c r="C19" i="14"/>
  <c r="D19" i="14" s="1"/>
  <c r="G19" i="14" s="1"/>
  <c r="C22" i="15"/>
  <c r="C23" i="15" s="1"/>
  <c r="H23" i="15" s="1"/>
  <c r="D40" i="9"/>
  <c r="I76" i="3"/>
  <c r="D14" i="14"/>
  <c r="G14" i="14" s="1"/>
  <c r="H36" i="13"/>
  <c r="H35" i="13"/>
  <c r="B36" i="14" l="1"/>
  <c r="D28" i="15"/>
  <c r="E28" i="15"/>
  <c r="E22" i="15"/>
  <c r="E23" i="15" s="1"/>
  <c r="H24" i="15" s="1"/>
  <c r="E14" i="15"/>
  <c r="E15" i="15" s="1"/>
  <c r="H16" i="15" s="1"/>
  <c r="F40" i="9"/>
  <c r="I9" i="5" s="1"/>
  <c r="F30" i="15" s="1"/>
  <c r="H9" i="5"/>
  <c r="G9" i="5" l="1"/>
  <c r="G12" i="5" s="1"/>
  <c r="I12" i="5" s="1"/>
  <c r="C17" i="14" s="1"/>
  <c r="D17" i="14" s="1"/>
  <c r="G17" i="14" s="1"/>
  <c r="D30" i="15"/>
  <c r="E30" i="15"/>
  <c r="C30" i="15"/>
  <c r="H28" i="15"/>
  <c r="C16" i="14"/>
  <c r="B16" i="14"/>
  <c r="D166" i="12"/>
  <c r="G13" i="5" s="1"/>
  <c r="G15" i="5" l="1"/>
  <c r="F31" i="15"/>
  <c r="F166" i="12"/>
  <c r="I13" i="5" s="1"/>
  <c r="E166" i="12"/>
  <c r="H13" i="5" s="1"/>
  <c r="D16" i="14"/>
  <c r="G16" i="14" s="1"/>
  <c r="C32" i="15" l="1"/>
  <c r="E32" i="15"/>
  <c r="E34" i="15" s="1"/>
  <c r="E55" i="15" s="1"/>
  <c r="D32" i="15"/>
  <c r="D34" i="15" s="1"/>
  <c r="D55" i="15" s="1"/>
  <c r="H15" i="5"/>
  <c r="H24" i="5" s="1"/>
  <c r="B18" i="14"/>
  <c r="B20" i="14" s="1"/>
  <c r="I15" i="5"/>
  <c r="I24" i="5" s="1"/>
  <c r="I34" i="5" s="1"/>
  <c r="I41" i="5" s="1"/>
  <c r="I46" i="5" s="1"/>
  <c r="F41" i="15" s="1"/>
  <c r="C18" i="14"/>
  <c r="C20" i="14" s="1"/>
  <c r="F32" i="15"/>
  <c r="E56" i="15" l="1"/>
  <c r="D56" i="15"/>
  <c r="A38" i="15"/>
  <c r="G24" i="5"/>
  <c r="C34" i="15"/>
  <c r="C55" i="15" s="1"/>
  <c r="F34" i="15"/>
  <c r="D18" i="14"/>
  <c r="G18" i="14" s="1"/>
  <c r="I51" i="5"/>
  <c r="C28" i="14"/>
  <c r="D28" i="14" s="1"/>
  <c r="A25" i="5"/>
  <c r="A25" i="14"/>
  <c r="I50" i="5"/>
  <c r="D41" i="15" l="1"/>
  <c r="E41" i="15"/>
  <c r="C56" i="15"/>
  <c r="C41" i="15"/>
  <c r="D20" i="14"/>
  <c r="G20" i="14" s="1"/>
  <c r="H34" i="5"/>
  <c r="H32" i="5"/>
  <c r="E39" i="15" l="1"/>
  <c r="E43" i="15" s="1"/>
  <c r="E46" i="15" s="1"/>
  <c r="H34" i="15"/>
  <c r="C39" i="15"/>
  <c r="B23" i="14"/>
  <c r="D23" i="14" s="1"/>
  <c r="G34" i="5"/>
  <c r="H39" i="5"/>
  <c r="D39" i="15" l="1"/>
  <c r="D43" i="15" s="1"/>
  <c r="D46" i="15" s="1"/>
  <c r="C43" i="15"/>
  <c r="C46" i="15" s="1"/>
  <c r="H41" i="5"/>
  <c r="H50" i="5" s="1"/>
  <c r="G50" i="5" s="1"/>
  <c r="B26" i="14"/>
  <c r="D26" i="14" s="1"/>
  <c r="D30" i="14" s="1"/>
  <c r="G31" i="14" s="1"/>
  <c r="H48" i="5"/>
  <c r="H51" i="5"/>
  <c r="G51" i="5" s="1"/>
  <c r="H46" i="15" l="1"/>
  <c r="G41" i="5"/>
</calcChain>
</file>

<file path=xl/comments1.xml><?xml version="1.0" encoding="utf-8"?>
<comments xmlns="http://schemas.openxmlformats.org/spreadsheetml/2006/main">
  <authors>
    <author>Schyra, Matthias</author>
  </authors>
  <commentList>
    <comment ref="D7" authorId="0">
      <text>
        <r>
          <rPr>
            <sz val="9"/>
            <color indexed="81"/>
            <rFont val="Tahoma"/>
            <family val="2"/>
          </rPr>
          <t>Beispielhafte Aufzählung: Siehe Ausfüllhilfe Anhang A</t>
        </r>
      </text>
    </comment>
    <comment ref="D68" authorId="0">
      <text>
        <r>
          <rPr>
            <sz val="9"/>
            <color indexed="81"/>
            <rFont val="Tahoma"/>
            <family val="2"/>
          </rPr>
          <t>Beispielhafte Aufzählung: Siehe Ausfüllhilfe Anhang A</t>
        </r>
      </text>
    </comment>
    <comment ref="D93" authorId="0">
      <text>
        <r>
          <rPr>
            <sz val="9"/>
            <color indexed="81"/>
            <rFont val="Tahoma"/>
            <family val="2"/>
          </rPr>
          <t>Beispielhafte Aufzählung: Siehe Ausfüllhilfe Anhang A</t>
        </r>
      </text>
    </comment>
    <comment ref="A109" authorId="0">
      <text>
        <r>
          <rPr>
            <sz val="9"/>
            <color indexed="81"/>
            <rFont val="Tahoma"/>
            <family val="2"/>
          </rPr>
          <t>Beispielhafte Aufzählung: Siehe Ausfüllhilfe Anhang A</t>
        </r>
      </text>
    </comment>
    <comment ref="A129" authorId="0">
      <text>
        <r>
          <rPr>
            <sz val="9"/>
            <color indexed="81"/>
            <rFont val="Tahoma"/>
            <family val="2"/>
          </rPr>
          <t>Beispielhafte Aufzählung: Siehe Ausfüllhilfe Anhang A</t>
        </r>
      </text>
    </comment>
  </commentList>
</comments>
</file>

<file path=xl/comments2.xml><?xml version="1.0" encoding="utf-8"?>
<comments xmlns="http://schemas.openxmlformats.org/spreadsheetml/2006/main">
  <authors>
    <author>Administrator</author>
    <author>Schyra, Matthias</author>
  </authors>
  <commentList>
    <comment ref="C84" authorId="0">
      <text>
        <r>
          <rPr>
            <sz val="8"/>
            <color indexed="81"/>
            <rFont val="Tahoma"/>
            <family val="2"/>
          </rPr>
          <t xml:space="preserve">durchschnittlicher Zins
</t>
        </r>
      </text>
    </comment>
    <comment ref="B105" authorId="1">
      <text>
        <r>
          <rPr>
            <sz val="9"/>
            <color indexed="81"/>
            <rFont val="Tahoma"/>
            <family val="2"/>
          </rPr>
          <t>Hinterlegt ist die Auslastung gem. Schiedsstelle SGB XII Stand März 2016. Für Kurzzeit-Unterbringung ist hier ggfs eine realistische niedrigere Auslastung anzusetzen.</t>
        </r>
      </text>
    </comment>
    <comment ref="D114" authorId="1">
      <text>
        <r>
          <rPr>
            <sz val="9"/>
            <color indexed="81"/>
            <rFont val="Tahoma"/>
            <family val="2"/>
          </rPr>
          <t>Sofern die Anschaffungs- und Herstellkosten nicht mehr ermittelbar sind und deshalb in Feld D8 ein "x" gesetzt wurde, wird hier der bisherige IK-Satz ausgewiesen und in eine Monatsmiete umgerechnet.
Da dieser bereits einen Anteil für Ausstattung enthällt, ist Blatt 
"D Ausstattung" dann nicht mehr auszufüllen.
Wurde "x" in Feld D6 gesetzt (Berechnung auf Basis der Ist-Kosten), wird hier die sich ergebende Kaltmiete pro Tag ausgegeben und anschließend in einen Monatsmiete umgerechnet.</t>
        </r>
      </text>
    </comment>
  </commentList>
</comments>
</file>

<file path=xl/comments3.xml><?xml version="1.0" encoding="utf-8"?>
<comments xmlns="http://schemas.openxmlformats.org/spreadsheetml/2006/main">
  <authors>
    <author>Administrator</author>
    <author>Schyra, Matthias</author>
  </authors>
  <commentList>
    <comment ref="C43" authorId="0">
      <text>
        <r>
          <rPr>
            <b/>
            <sz val="8"/>
            <color indexed="81"/>
            <rFont val="Tahoma"/>
            <family val="2"/>
          </rPr>
          <t>Administrator:</t>
        </r>
        <r>
          <rPr>
            <sz val="8"/>
            <color indexed="81"/>
            <rFont val="Tahoma"/>
            <family val="2"/>
          </rPr>
          <t xml:space="preserve">
durchschnittlicher Zins
</t>
        </r>
      </text>
    </comment>
    <comment ref="C134" authorId="0">
      <text>
        <r>
          <rPr>
            <b/>
            <sz val="8"/>
            <color indexed="81"/>
            <rFont val="Tahoma"/>
            <family val="2"/>
          </rPr>
          <t>Administrator:</t>
        </r>
        <r>
          <rPr>
            <sz val="8"/>
            <color indexed="81"/>
            <rFont val="Tahoma"/>
            <family val="2"/>
          </rPr>
          <t xml:space="preserve">
durchschnittlicher Zins
</t>
        </r>
      </text>
    </comment>
    <comment ref="C141" authorId="0">
      <text>
        <r>
          <rPr>
            <b/>
            <sz val="8"/>
            <color indexed="81"/>
            <rFont val="Tahoma"/>
            <family val="2"/>
          </rPr>
          <t>Administrator:</t>
        </r>
        <r>
          <rPr>
            <sz val="8"/>
            <color indexed="81"/>
            <rFont val="Tahoma"/>
            <family val="2"/>
          </rPr>
          <t xml:space="preserve">
durchschnittlicher Zins
</t>
        </r>
      </text>
    </comment>
    <comment ref="F158" authorId="1">
      <text>
        <r>
          <rPr>
            <sz val="9"/>
            <color indexed="81"/>
            <rFont val="Tahoma"/>
            <family val="2"/>
          </rPr>
          <t>Kosten der Sonder-Infrastruktur werden zu 100% dem Fachleistungsanteil zugeordnet, da sie im Assistenzbedarf der Leistungsberechtigten begründet liegen</t>
        </r>
      </text>
    </comment>
  </commentList>
</comments>
</file>

<file path=xl/comments4.xml><?xml version="1.0" encoding="utf-8"?>
<comments xmlns="http://schemas.openxmlformats.org/spreadsheetml/2006/main">
  <authors>
    <author>Schyra, Matthias</author>
  </authors>
  <commentList>
    <comment ref="A30" authorId="0">
      <text>
        <r>
          <rPr>
            <sz val="9"/>
            <color indexed="81"/>
            <rFont val="Tahoma"/>
            <family val="2"/>
          </rPr>
          <t xml:space="preserve">Bitte ändern Sie die Positionierung der Zeile für den Strom nicht manuell ab, da das Tool aus diesen Werten den Aufschlag für Haushaltsstrom automatisiert berechnet und in der Ergebnisübersicht unter den Aufschlägen gem. §42a Absatz 5 Satz 4 Nr.1-4 SGB XII ausweist.
</t>
        </r>
      </text>
    </comment>
    <comment ref="A34" authorId="0">
      <text>
        <r>
          <rPr>
            <sz val="9"/>
            <color indexed="81"/>
            <rFont val="Tahoma"/>
            <family val="2"/>
          </rPr>
          <t xml:space="preserve">Die Hausreinigung ist aufgrund ordnungsrechtlicher Vorgaben in einem Wohnheim auch nach Umstellung auf BTHG in einem Maße durch den Leistungserbringer notwendig, der nicht mit der Sozialhilfe vergleichbar ist. Ein Sozialhilfeempfänger reinigt seine persönlichen Wohnräume i.d.R. selbst. Dem Leistungsberechtigten in den besonderen Wohnformen ist dies teilweise aufgrund des Unterstützungsbedarfs oder aufgrund rechtlicher Vorgaben, die der Leistungserbringer sicherzustellen hat, z.B. Hygiene-Vorschriften, nicht möglich. Deshalb ist eine Zuordnung nach Flächenschlüssel nicht angemessen. Der in manchen Einrichtungen sehr hohe Aufwand für Reinigung entsteht weitgehend aus dem Hilfebedarf der Leistungsberechtigten. Deshalb ist eine Zuordnung zur Fachleistung angemessen.
</t>
        </r>
      </text>
    </comment>
    <comment ref="A35" authorId="0">
      <text>
        <r>
          <rPr>
            <sz val="9"/>
            <color indexed="81"/>
            <rFont val="Tahoma"/>
            <family val="2"/>
          </rPr>
          <t xml:space="preserve">Nur aufgrund Hilfebedarf nötig. In Mietbegbäuden ansonsten unüblich. Deshalb Zuordnung zur Fachleistung.
</t>
        </r>
      </text>
    </comment>
  </commentList>
</comments>
</file>

<file path=xl/comments5.xml><?xml version="1.0" encoding="utf-8"?>
<comments xmlns="http://schemas.openxmlformats.org/spreadsheetml/2006/main">
  <authors>
    <author>Schyra, Matthias</author>
  </authors>
  <commentList>
    <comment ref="E8" authorId="0">
      <text>
        <r>
          <rPr>
            <sz val="9"/>
            <color indexed="81"/>
            <rFont val="Tahoma"/>
            <family val="2"/>
          </rPr>
          <t>Nebenkosten der Sonderinfrastruktur werden zu 100% dem Fachleistungsanteil zugeordnet, da das Vorhandesein solcher  Sonder-Infrastruktur im Assistenzbedarf der Leistungsberechtigten begründet liegt.</t>
        </r>
      </text>
    </comment>
  </commentList>
</comments>
</file>

<file path=xl/comments6.xml><?xml version="1.0" encoding="utf-8"?>
<comments xmlns="http://schemas.openxmlformats.org/spreadsheetml/2006/main">
  <authors>
    <author>Schyra, Matthias</author>
  </authors>
  <commentList>
    <comment ref="A21" authorId="0">
      <text>
        <r>
          <rPr>
            <sz val="9"/>
            <color indexed="81"/>
            <rFont val="Tahoma"/>
            <family val="2"/>
          </rPr>
          <t xml:space="preserve">Diesen Wert muss die Kommune zur Verfügung stellen.
</t>
        </r>
      </text>
    </comment>
  </commentList>
</comments>
</file>

<file path=xl/sharedStrings.xml><?xml version="1.0" encoding="utf-8"?>
<sst xmlns="http://schemas.openxmlformats.org/spreadsheetml/2006/main" count="995" uniqueCount="517">
  <si>
    <t>Raum Nr.</t>
  </si>
  <si>
    <t>Raumbezeichnung</t>
  </si>
  <si>
    <t>Summe Gesamtgebäude</t>
  </si>
  <si>
    <t xml:space="preserve">   davon Fachleistungsflächen</t>
  </si>
  <si>
    <t>Aufteilung:</t>
  </si>
  <si>
    <t>Fachleistung</t>
  </si>
  <si>
    <t>Kontrolle</t>
  </si>
  <si>
    <t>Gesamt-Schlüssel:</t>
  </si>
  <si>
    <t>Fachleistungsfläche</t>
  </si>
  <si>
    <t>Miete/Pacht/Leasing</t>
  </si>
  <si>
    <t>Summe</t>
  </si>
  <si>
    <t>Zusammenfassung</t>
  </si>
  <si>
    <t>AFA Gebäude und Zubehör</t>
  </si>
  <si>
    <t>AFA Ausstattung</t>
  </si>
  <si>
    <t>Instandhaltung</t>
  </si>
  <si>
    <t>Finanzierungskosten</t>
  </si>
  <si>
    <t>Öffnungstage</t>
  </si>
  <si>
    <t>Plätze</t>
  </si>
  <si>
    <t>Auslastung</t>
  </si>
  <si>
    <t>Divisor</t>
  </si>
  <si>
    <t>umlegbare 
Nebenkosten</t>
  </si>
  <si>
    <t>Anteil
Fachleistung</t>
  </si>
  <si>
    <t>Anteil 
Pers. Wohnraum</t>
  </si>
  <si>
    <t>Gesamt</t>
  </si>
  <si>
    <t>Schritt A: Flächenschlüssel</t>
  </si>
  <si>
    <t>Schritt D: Ausstattungskosten</t>
  </si>
  <si>
    <t>Abschreibung</t>
  </si>
  <si>
    <t>Zinsen</t>
  </si>
  <si>
    <t>Miete/Leasing</t>
  </si>
  <si>
    <t>Übernahme durch Sozialhilfe: max. weitere</t>
  </si>
  <si>
    <t>Mietberechnung nach BTHG</t>
  </si>
  <si>
    <t>persönlich + Gem.fl.</t>
  </si>
  <si>
    <t>persönl. Wohnfläche/Gem.fl.</t>
  </si>
  <si>
    <t>Müllabfuhr</t>
  </si>
  <si>
    <t>Ungezieferbekämpfung</t>
  </si>
  <si>
    <t>Gartenpflege</t>
  </si>
  <si>
    <t>Hausreinigung</t>
  </si>
  <si>
    <t>Beleuchtung (Außen-, Flurbeleuchtung)</t>
  </si>
  <si>
    <t>Schornsteinfegergebühren</t>
  </si>
  <si>
    <t>Sach- und Haftpflichtversicherungen</t>
  </si>
  <si>
    <t>Hausmeisterkosten</t>
  </si>
  <si>
    <t>Kosten für die Gemeinschaftsantenne</t>
  </si>
  <si>
    <t>Kosten für Breitbandkabelanschluss</t>
  </si>
  <si>
    <t>Kosten für Trinkwasseruntersuchung</t>
  </si>
  <si>
    <t>persönliche 
Wohnfläche</t>
  </si>
  <si>
    <t>diese Felder sind auszufüllen</t>
  </si>
  <si>
    <t>Kontrolle: Verbleibende zu refinanzierende Kosten pro Monat und Bewohner (muss null ergeben)</t>
  </si>
  <si>
    <t>Kontrolle Gesamtsumme</t>
  </si>
  <si>
    <t>Grundsteuer</t>
  </si>
  <si>
    <t xml:space="preserve">Wasser-/Abwasser, Warmwasser </t>
  </si>
  <si>
    <t>Betrieb und Wartung der Wasserversorgungsanlagen</t>
  </si>
  <si>
    <t>Betrieb / Wartung der Wärmeversorgungsanlagen</t>
  </si>
  <si>
    <t>Betrieb / Wartung Aufzuganlagen</t>
  </si>
  <si>
    <t>Straßenreinigung</t>
  </si>
  <si>
    <t>Wärme</t>
  </si>
  <si>
    <t>Flächenschl.</t>
  </si>
  <si>
    <t>Sonstige Betriebskosten, 
z.B. Hygiene- und Legionellenprüfung</t>
  </si>
  <si>
    <t>Summe Sozialhilfe</t>
  </si>
  <si>
    <t>Summe Flächen außerhalb Heimbereich</t>
  </si>
  <si>
    <t xml:space="preserve">   davon freie Flächen außerhalb Heim</t>
  </si>
  <si>
    <t>freie Flächen</t>
  </si>
  <si>
    <t>Schlüssel innerhalb Heimbereich</t>
  </si>
  <si>
    <t>pro Tag</t>
  </si>
  <si>
    <t>Anschaffungskosten nach Kostengruppen</t>
  </si>
  <si>
    <t>Kostengruppe 100</t>
  </si>
  <si>
    <t>Grundstück</t>
  </si>
  <si>
    <t>Kostengruppe 200</t>
  </si>
  <si>
    <t>Herrichten und Erschließen</t>
  </si>
  <si>
    <t>Kostengruppe 300</t>
  </si>
  <si>
    <t>Bauwerk - Baukonstruktion</t>
  </si>
  <si>
    <t>Kostengruppe 400</t>
  </si>
  <si>
    <t>Bauwerk - Technische Anlagen</t>
  </si>
  <si>
    <t>Kostengruppe 500</t>
  </si>
  <si>
    <t>Außenanlagen</t>
  </si>
  <si>
    <t>Kostengruppe 600</t>
  </si>
  <si>
    <t>Ausstattung</t>
  </si>
  <si>
    <t>Summe Anschaffungskosten</t>
  </si>
  <si>
    <t>Zuschuss aufgeteilt auf Kostengruppen</t>
  </si>
  <si>
    <t>Zuschüsse</t>
  </si>
  <si>
    <t>Abschreibungen unter Berücksichtigung der Zuschüsse</t>
  </si>
  <si>
    <t>Summe:</t>
  </si>
  <si>
    <t>Summe ohne Ausstattung</t>
  </si>
  <si>
    <t>Ermittlung der durchschnittlichen Afa (ohne Ausstattung und Zuschuss)</t>
  </si>
  <si>
    <t>AFA ohne Ausstattung</t>
  </si>
  <si>
    <t>Kosten ohne Ausstattung und Grdstk.</t>
  </si>
  <si>
    <t>Durchschnittliche Abschreibung Gebäude:</t>
  </si>
  <si>
    <t>x</t>
  </si>
  <si>
    <t>Instandhaltungen</t>
  </si>
  <si>
    <t>Gebäude + Inventar AHK</t>
  </si>
  <si>
    <t>Prozentsatz</t>
  </si>
  <si>
    <t>Summe Instandhaltung</t>
  </si>
  <si>
    <t>Position 1</t>
  </si>
  <si>
    <t>Position 2</t>
  </si>
  <si>
    <t>Position 3</t>
  </si>
  <si>
    <t>Miete/Pacht/Erbbau für Gebäude oder Grundstück</t>
  </si>
  <si>
    <t>Summe Miete/Pacht</t>
  </si>
  <si>
    <t>Finanzierung</t>
  </si>
  <si>
    <t>Fremdmittel</t>
  </si>
  <si>
    <t>FK-Zinskosten</t>
  </si>
  <si>
    <t>Eigenmittel</t>
  </si>
  <si>
    <t>EK-Zinskosten</t>
  </si>
  <si>
    <t>Summe Finanzierung</t>
  </si>
  <si>
    <t>EM-Ersatz (z.B. Aktion Mensch)</t>
  </si>
  <si>
    <t>Kapitalmarktdarlehen 1</t>
  </si>
  <si>
    <t>Kapitalmarktdarlehen 2</t>
  </si>
  <si>
    <t>Position 4</t>
  </si>
  <si>
    <t>pro Monat</t>
  </si>
  <si>
    <t>pro Jahr</t>
  </si>
  <si>
    <t xml:space="preserve">Mietberechnung nach BTHG </t>
  </si>
  <si>
    <t>Art der Nebenkosten</t>
  </si>
  <si>
    <t>Flächenschlüssel</t>
  </si>
  <si>
    <t>Flächen des Persönlichen Wohnraums inkl. Gemeinschaftsflächen:</t>
  </si>
  <si>
    <t>Fachleistungsflächen</t>
  </si>
  <si>
    <t>Außerhalb des Heimbereichs genutzte Flächen</t>
  </si>
  <si>
    <t>Summe Flächen persönlicher Wohnraum</t>
  </si>
  <si>
    <t>Ebene/ 
Geschoss</t>
  </si>
  <si>
    <t>Anteil Pers. Wohnraum</t>
  </si>
  <si>
    <t xml:space="preserve">Fläche m²                       </t>
  </si>
  <si>
    <t>Summe Fachleistungsflächen</t>
  </si>
  <si>
    <t>Summe Gebäude</t>
  </si>
  <si>
    <t>Summe direkt zuordenbare Flächen</t>
  </si>
  <si>
    <t xml:space="preserve">   davon persönl. Wohnflächen Inkl. Gemeinschaftsfl.</t>
  </si>
  <si>
    <t>Flächen Zusammenfassung und Schlüsselberechnung</t>
  </si>
  <si>
    <t>Anteil</t>
  </si>
  <si>
    <t>Anteil
freie Flächen</t>
  </si>
  <si>
    <t>Kostengruppe 700</t>
  </si>
  <si>
    <t>Anteilsberechnung mit Aufteilung der KG 700 auf KG 300-500</t>
  </si>
  <si>
    <t xml:space="preserve">Einzelzuordnung </t>
  </si>
  <si>
    <t>Summe Anschaffungswerte</t>
  </si>
  <si>
    <t>Laufende Ausstattungskosten</t>
  </si>
  <si>
    <t>Summe p.a.</t>
  </si>
  <si>
    <t>2. Zusätzlich zu vergütende Leistungen:</t>
  </si>
  <si>
    <t>p.a.         p.M.:</t>
  </si>
  <si>
    <t>Kaltmiete gesamt pro Monat und Bewohner</t>
  </si>
  <si>
    <t>Gebäude Kaltmiete</t>
  </si>
  <si>
    <t>Nebenkosten</t>
  </si>
  <si>
    <t>Summe Anschaffungskosten Gebäude (ohne Grdst.)</t>
  </si>
  <si>
    <t>Summe Basismiete</t>
  </si>
  <si>
    <t>Summe Sonderaufschlag persönlicher Wohnraum</t>
  </si>
  <si>
    <t>Verbleibende zu refinanzierende Kosten pro Monat u. Bewohner</t>
  </si>
  <si>
    <t>Summe Assistenz-/Teilhabe-Aufschlag persönl. Wohnraum</t>
  </si>
  <si>
    <t xml:space="preserve">Summe Investitionsbetrag für Fachleistungen
</t>
  </si>
  <si>
    <t>Anlage: Verwaltungskosten lt. 2. BV indexiert</t>
  </si>
  <si>
    <t>Schritt E: Mietberechnung und Refinanzierung</t>
  </si>
  <si>
    <t>Zuschläge pro Bewohner und Monat</t>
  </si>
  <si>
    <t>KG 400
Techn. Anlagen</t>
  </si>
  <si>
    <t>KG 500
Außenanlagen</t>
  </si>
  <si>
    <t>Summe
gesamt</t>
  </si>
  <si>
    <t>Schwimmbad</t>
  </si>
  <si>
    <t>Turnhalle</t>
  </si>
  <si>
    <t>Sportplätze</t>
  </si>
  <si>
    <t>Summe fachliche Infrastruktur</t>
  </si>
  <si>
    <t>üblicherweise öffentliche Infrastruktur / Erschließung:</t>
  </si>
  <si>
    <t>Summe öffentliche Infrastruktur / Erschließung:</t>
  </si>
  <si>
    <t>fachliche Infrastruktur</t>
  </si>
  <si>
    <t>etc.</t>
  </si>
  <si>
    <t>Straßen und Gehwege</t>
  </si>
  <si>
    <t>Wasser und Abwasser Netz</t>
  </si>
  <si>
    <t>Parkplätze</t>
  </si>
  <si>
    <t>Straßenbeleuchtung und -Beschilderung</t>
  </si>
  <si>
    <t>Feuerwehr</t>
  </si>
  <si>
    <t>KG 600
Ausstattung</t>
  </si>
  <si>
    <t>Grünanlagen und Spielplätze</t>
  </si>
  <si>
    <t>Daten- und Telefonnetze</t>
  </si>
  <si>
    <t>KG 100 
Grundstück</t>
  </si>
  <si>
    <t>KG 300 
Gebäude</t>
  </si>
  <si>
    <t>Summe gesamt</t>
  </si>
  <si>
    <t>Schritt B_1: Gebäude Kaltmiete</t>
  </si>
  <si>
    <t>Bewohner gesamt</t>
  </si>
  <si>
    <t>Schritt C_1: Nebenkosten</t>
  </si>
  <si>
    <t>Strom</t>
  </si>
  <si>
    <t>Summe Eingliederungshilfe gesamt</t>
  </si>
  <si>
    <r>
      <t>Zuordnung</t>
    </r>
    <r>
      <rPr>
        <sz val="11"/>
        <color theme="1"/>
        <rFont val="Calibri"/>
        <family val="2"/>
        <scheme val="minor"/>
      </rPr>
      <t xml:space="preserve"> zu Kostengruppen:</t>
    </r>
  </si>
  <si>
    <t>Einrichtung / Standort:</t>
  </si>
  <si>
    <t>Standort-Landkreis:</t>
  </si>
  <si>
    <t>Anzahl Plätze</t>
  </si>
  <si>
    <t>aktueller Kostensatz</t>
  </si>
  <si>
    <t>Aufteilungsschlüssel</t>
  </si>
  <si>
    <t>Kapitalmarktdarlehen 3</t>
  </si>
  <si>
    <t xml:space="preserve">Verwaltungskosten 
2. BV §26 </t>
  </si>
  <si>
    <t>Inflationsrate des 
stat. Bundesamts</t>
  </si>
  <si>
    <t>Zuschuss zu Ausstattung</t>
  </si>
  <si>
    <t>Aufteilung nach Flächenschlüssel</t>
  </si>
  <si>
    <t>Wartung und Aufschaltung Brandmeldeanlagen</t>
  </si>
  <si>
    <t>Basis für Verzinsung:</t>
  </si>
  <si>
    <t>Zinssatz</t>
  </si>
  <si>
    <t>davon Eigenmittel</t>
  </si>
  <si>
    <t>davon Fremdmittel</t>
  </si>
  <si>
    <t>Anschaffungs- und Herstellkosten in €</t>
  </si>
  <si>
    <t>jährlicher Aufwand  €</t>
  </si>
  <si>
    <t>gemietete Ausstattungen (z.B. Telefon, KFZ, Kopierer, EDV, Software,...)</t>
  </si>
  <si>
    <t>Betrag €</t>
  </si>
  <si>
    <t>nachrichtlich: pro Person und</t>
  </si>
  <si>
    <t>Monat</t>
  </si>
  <si>
    <t>Anschaffungs
-kosten in €</t>
  </si>
  <si>
    <t>Geringw. Wirtsch.g (GWG)</t>
  </si>
  <si>
    <t>Divisor (Platzzahl * 12 Monate * Auslastung)</t>
  </si>
  <si>
    <t xml:space="preserve">Summe Mischflächen Heimbereich </t>
  </si>
  <si>
    <t xml:space="preserve">(Anteil der persönlichen Wohnfläche inkl. Gemeinschaftsflächen ohne auf anteilige Mischflächen wie Treppenhäuser </t>
  </si>
  <si>
    <t>oder Haustechnik entfallenden Kosten):</t>
  </si>
  <si>
    <t>Anteil an 
Gesamt-Flächen</t>
  </si>
  <si>
    <t>Anteil an 
persönl. Wohnraum</t>
  </si>
  <si>
    <t>persönliche Wohnfläche inkl. Gemeinschaftsflächen</t>
  </si>
  <si>
    <t>anteilige Allgemeinflächen</t>
  </si>
  <si>
    <t>anteilige Allgemeinfläche</t>
  </si>
  <si>
    <t>Anteil Fachleistung</t>
  </si>
  <si>
    <r>
      <t>Schlüssel zur Ermittlung des</t>
    </r>
    <r>
      <rPr>
        <b/>
        <i/>
        <sz val="11"/>
        <rFont val="Calibri"/>
        <family val="2"/>
        <scheme val="minor"/>
      </rPr>
      <t xml:space="preserve"> Haushaltsstroms </t>
    </r>
    <r>
      <rPr>
        <i/>
        <sz val="11"/>
        <rFont val="Calibri"/>
        <family val="2"/>
        <scheme val="minor"/>
      </rPr>
      <t>sowie der</t>
    </r>
    <r>
      <rPr>
        <b/>
        <i/>
        <sz val="11"/>
        <rFont val="Calibri"/>
        <family val="2"/>
        <scheme val="minor"/>
      </rPr>
      <t xml:space="preserve"> Instandhaltung von persönlichen Räumlichkeiten und den </t>
    </r>
  </si>
  <si>
    <r>
      <rPr>
        <b/>
        <i/>
        <sz val="11"/>
        <rFont val="Calibri"/>
        <family val="2"/>
        <scheme val="minor"/>
      </rPr>
      <t>Räumlichkeiten zur gemeinschaftlichen Nutzung</t>
    </r>
    <r>
      <rPr>
        <i/>
        <sz val="11"/>
        <rFont val="Calibri"/>
        <family val="2"/>
        <scheme val="minor"/>
      </rPr>
      <t xml:space="preserve">  gem §42a Absatz 5 Satz 4 Nr.3 SGB XII </t>
    </r>
  </si>
  <si>
    <t>Telekommunikation, Rundfunk, Fernsehen, Internet</t>
  </si>
  <si>
    <t>Einzelzuordnung (wo Aufteilung nach Flächenschlüssel nicht sachgerecht, bitte auch gelbe Felder Spalte D/F befüllen!)</t>
  </si>
  <si>
    <t>Gesamte Kosten der Unterkunft und Heizung</t>
  </si>
  <si>
    <t>Ergebnis-Übersicht</t>
  </si>
  <si>
    <t>Miete persönliche 
Wohnfläche</t>
  </si>
  <si>
    <t>Investitionsbetrag Fachleistungen</t>
  </si>
  <si>
    <t>Flächen in m² pro Platz</t>
  </si>
  <si>
    <t>ohne Mischflächen</t>
  </si>
  <si>
    <t>mit anteiligen Mischflächen</t>
  </si>
  <si>
    <t>Gebäude-Kaltmiete</t>
  </si>
  <si>
    <t>Gesamt-Summe</t>
  </si>
  <si>
    <t>monatliche 
Warmmiete Mieter</t>
  </si>
  <si>
    <t>Anteil Grundsicherungsmiete</t>
  </si>
  <si>
    <t>(max 125% eines Ein-Personenhaushalts)</t>
  </si>
  <si>
    <t>Anteil Miete Eingliederungshilfe</t>
  </si>
  <si>
    <t>Anteil Investitionsbetrag</t>
  </si>
  <si>
    <t>Fachleistungsräume</t>
  </si>
  <si>
    <t>Summe Anteil</t>
  </si>
  <si>
    <t>Eingliederungshilfe</t>
  </si>
  <si>
    <t>gem. §42a Absatz 5 Satz 4 Nr.1-4 SGB XII (im Mietvertrag transparent auszuweisen):</t>
  </si>
  <si>
    <t>Zuschläge für Möblierung und Ausstattung mit Haushaltsgroßgeräten</t>
  </si>
  <si>
    <t>Zuschläge für Haushaltsstrom</t>
  </si>
  <si>
    <t xml:space="preserve">Zuschläge für Telekommunikation sowie Zugang zu Rundfunk, Fernsehen, Internet </t>
  </si>
  <si>
    <t>zentrale Infrastruktur:</t>
  </si>
  <si>
    <t>Aufteilungsschlüssel zentrale Dienste</t>
  </si>
  <si>
    <t>davon entfallen auf</t>
  </si>
  <si>
    <t>(nach Flächenschlüssel im Verhältnis der direkt zuordenbaren Flächen persönlicher Wohnraum, Fachleistungs-
flächen und Flächen außerhalb Heimbereich)</t>
  </si>
  <si>
    <t>Summe Mischflächen Gesamtgebäude</t>
  </si>
  <si>
    <t>(nach Flächenschlüssel im Verhältnis der direkt zuordenbaren Flächen persönlicher Wohnraum, Fachleistungs-
flächen)</t>
  </si>
  <si>
    <t>Schlüssel im</t>
  </si>
  <si>
    <t>Heimbereich</t>
  </si>
  <si>
    <t>Aufteilung Mischflächen Gesamt-Gebäude</t>
  </si>
  <si>
    <t>Aufteilung Mischflächen Innerhalb Heimbereich</t>
  </si>
  <si>
    <r>
      <t xml:space="preserve">Mischflächen </t>
    </r>
    <r>
      <rPr>
        <b/>
        <u/>
        <sz val="12"/>
        <rFont val="Calibri"/>
        <family val="2"/>
        <scheme val="minor"/>
      </rPr>
      <t>Gesamt-</t>
    </r>
    <r>
      <rPr>
        <b/>
        <sz val="12"/>
        <rFont val="Calibri"/>
        <family val="2"/>
        <scheme val="minor"/>
      </rPr>
      <t xml:space="preserve">Gebäude
</t>
    </r>
    <r>
      <rPr>
        <b/>
        <i/>
        <sz val="12"/>
        <rFont val="Calibri"/>
        <family val="2"/>
        <scheme val="minor"/>
      </rPr>
      <t>(Nutzung durch Gesamtgebäude 
= durch Nutzer</t>
    </r>
    <r>
      <rPr>
        <b/>
        <i/>
        <u/>
        <sz val="12"/>
        <rFont val="Calibri"/>
        <family val="2"/>
        <scheme val="minor"/>
      </rPr>
      <t xml:space="preserve">innerhalb und außerhalb </t>
    </r>
    <r>
      <rPr>
        <b/>
        <i/>
        <sz val="12"/>
        <rFont val="Calibri"/>
        <family val="2"/>
        <scheme val="minor"/>
      </rPr>
      <t>des Heimbereichs)</t>
    </r>
  </si>
  <si>
    <r>
      <t xml:space="preserve">Mischflächen </t>
    </r>
    <r>
      <rPr>
        <b/>
        <u/>
        <sz val="12"/>
        <rFont val="Calibri"/>
        <family val="2"/>
        <scheme val="minor"/>
      </rPr>
      <t>innerhalb Heimbereich</t>
    </r>
    <r>
      <rPr>
        <b/>
        <sz val="12"/>
        <rFont val="Calibri"/>
        <family val="2"/>
        <scheme val="minor"/>
      </rPr>
      <t xml:space="preserve">
</t>
    </r>
    <r>
      <rPr>
        <b/>
        <i/>
        <sz val="12"/>
        <rFont val="Calibri"/>
        <family val="2"/>
        <scheme val="minor"/>
      </rPr>
      <t>(Nutzung innerhalb Heimbereich, jedoch sowohl Nutzung für persönl. Wohnraum als auch für Fachleistungsflächen)</t>
    </r>
  </si>
  <si>
    <t>somit anteilige Kosten des Wohnangebots pro Jahr</t>
  </si>
  <si>
    <t>m² pro Bew.</t>
  </si>
  <si>
    <t>pro Bewohner und Tag:</t>
  </si>
  <si>
    <t>pro Bewohner und Jahr</t>
  </si>
  <si>
    <t>pro Bewohner und Monat</t>
  </si>
  <si>
    <t>Summe pro Bewohner und Monat</t>
  </si>
  <si>
    <t>1. Ermittlung der Gesamtkosten pro Bewohner und Monat</t>
  </si>
  <si>
    <t>Laufende Ausstattungskosten  GWG und gemeiete Ausstattung, bspw. Telefon, KFZ, Kopierer, EDV, Software,...)</t>
  </si>
  <si>
    <t>Miete/Pacht/Leasing für Gebäude und Grundstücke</t>
  </si>
  <si>
    <t>Es entfallen auf</t>
  </si>
  <si>
    <t>(anteilige Berechnung Wohnangebot erfolgt unten)</t>
  </si>
  <si>
    <t>GESAMTE Miete/Pacht/Leasing zentrale Infrastruktur</t>
  </si>
  <si>
    <t>GESAMT-Finanzierung zentraler Infrastruktur</t>
  </si>
  <si>
    <t>GESAMTE Infrastruktur-Kosten AHK</t>
  </si>
  <si>
    <t>Anteilige Berechnung für das konkrete Wohnangebot 
erfolgt unten automatisiert</t>
  </si>
  <si>
    <t>Version 1.3</t>
  </si>
  <si>
    <t>Wohnheim Musterdorf</t>
  </si>
  <si>
    <t>Beispiel-Landkreis</t>
  </si>
  <si>
    <t>1.1</t>
  </si>
  <si>
    <t>App. 1</t>
  </si>
  <si>
    <t>Erdgeschoss</t>
  </si>
  <si>
    <t>1.2</t>
  </si>
  <si>
    <t>Bad</t>
  </si>
  <si>
    <t>1.3</t>
  </si>
  <si>
    <t>Wohnküche</t>
  </si>
  <si>
    <t>1.4</t>
  </si>
  <si>
    <t>Speis</t>
  </si>
  <si>
    <t>1.5</t>
  </si>
  <si>
    <t>Zimmer</t>
  </si>
  <si>
    <t>1.6</t>
  </si>
  <si>
    <t>1.7</t>
  </si>
  <si>
    <t>1.8</t>
  </si>
  <si>
    <t>1.9</t>
  </si>
  <si>
    <t>1.11</t>
  </si>
  <si>
    <t>1.12</t>
  </si>
  <si>
    <t>1.13</t>
  </si>
  <si>
    <t>Abst./Hauswirtschaft</t>
  </si>
  <si>
    <t>1.14</t>
  </si>
  <si>
    <t>WC</t>
  </si>
  <si>
    <t>1.16</t>
  </si>
  <si>
    <t>1.17</t>
  </si>
  <si>
    <t>1.18</t>
  </si>
  <si>
    <t>1.19</t>
  </si>
  <si>
    <t>1.20</t>
  </si>
  <si>
    <t>1.21</t>
  </si>
  <si>
    <t>1.22</t>
  </si>
  <si>
    <t>1.24</t>
  </si>
  <si>
    <t>1.25</t>
  </si>
  <si>
    <t>1.26</t>
  </si>
  <si>
    <t>1.27</t>
  </si>
  <si>
    <t>1.29</t>
  </si>
  <si>
    <t>App.2</t>
  </si>
  <si>
    <t>1.30</t>
  </si>
  <si>
    <t>1.38</t>
  </si>
  <si>
    <t>Eingang</t>
  </si>
  <si>
    <t>2.1</t>
  </si>
  <si>
    <t>App. 3</t>
  </si>
  <si>
    <t>Obergschoss</t>
  </si>
  <si>
    <t>2.2</t>
  </si>
  <si>
    <t>2.4</t>
  </si>
  <si>
    <t>2.5</t>
  </si>
  <si>
    <t>2.6</t>
  </si>
  <si>
    <t>2.7</t>
  </si>
  <si>
    <t>2.8</t>
  </si>
  <si>
    <t>2.9</t>
  </si>
  <si>
    <t>2.10</t>
  </si>
  <si>
    <t>2.11</t>
  </si>
  <si>
    <t>2.12</t>
  </si>
  <si>
    <t>2.13</t>
  </si>
  <si>
    <t>2.14</t>
  </si>
  <si>
    <t>2.17</t>
  </si>
  <si>
    <t>App.4</t>
  </si>
  <si>
    <t>2.18</t>
  </si>
  <si>
    <t>2.19</t>
  </si>
  <si>
    <t>2.20</t>
  </si>
  <si>
    <t>2.21</t>
  </si>
  <si>
    <t>2.22</t>
  </si>
  <si>
    <t>2.23</t>
  </si>
  <si>
    <t>2.24</t>
  </si>
  <si>
    <t>2.25</t>
  </si>
  <si>
    <t>2.26</t>
  </si>
  <si>
    <t>2.27</t>
  </si>
  <si>
    <t>2.28</t>
  </si>
  <si>
    <t>2.29</t>
  </si>
  <si>
    <t>2.41</t>
  </si>
  <si>
    <t>Balkon (Ansatz 25%)</t>
  </si>
  <si>
    <t>2.42</t>
  </si>
  <si>
    <t>2.43</t>
  </si>
  <si>
    <t>0.3</t>
  </si>
  <si>
    <t>Putzmittel</t>
  </si>
  <si>
    <t>Untergeschoss</t>
  </si>
  <si>
    <t>0.4</t>
  </si>
  <si>
    <t>Umkleide Damen</t>
  </si>
  <si>
    <t>0.5</t>
  </si>
  <si>
    <t>Umkleide Herren</t>
  </si>
  <si>
    <t>0.7</t>
  </si>
  <si>
    <t>Akten</t>
  </si>
  <si>
    <t>0.11</t>
  </si>
  <si>
    <t>Essensanlieferung</t>
  </si>
  <si>
    <t>0.12</t>
  </si>
  <si>
    <t>Wäsche unrein</t>
  </si>
  <si>
    <t>1.31</t>
  </si>
  <si>
    <t>Tagesangebot</t>
  </si>
  <si>
    <t>1.33</t>
  </si>
  <si>
    <t>WC (Personal)</t>
  </si>
  <si>
    <t>1.34</t>
  </si>
  <si>
    <t>Steckbecken/Inkontinenz</t>
  </si>
  <si>
    <t>1.35</t>
  </si>
  <si>
    <t>Wäsche rein</t>
  </si>
  <si>
    <t>1.36</t>
  </si>
  <si>
    <t>Rollstühle</t>
  </si>
  <si>
    <t>1.37</t>
  </si>
  <si>
    <t>Servicezentrum</t>
  </si>
  <si>
    <t>2.32</t>
  </si>
  <si>
    <t>Nachtbereitschaft</t>
  </si>
  <si>
    <t>Obergeschoss</t>
  </si>
  <si>
    <t>2.33</t>
  </si>
  <si>
    <t>Bad (Personal)</t>
  </si>
  <si>
    <t>2.34</t>
  </si>
  <si>
    <t>2.35</t>
  </si>
  <si>
    <t>2.36</t>
  </si>
  <si>
    <t>2.37</t>
  </si>
  <si>
    <t>Timeout</t>
  </si>
  <si>
    <t>2.38</t>
  </si>
  <si>
    <t>Besprechung</t>
  </si>
  <si>
    <t>3.01</t>
  </si>
  <si>
    <t>Wohnung freie Vermietung 1</t>
  </si>
  <si>
    <t>3.02</t>
  </si>
  <si>
    <t>Wohnung freie Vermietung 2</t>
  </si>
  <si>
    <t>3.03</t>
  </si>
  <si>
    <t>Wohnung freie Vermietung 3</t>
  </si>
  <si>
    <t>0.41</t>
  </si>
  <si>
    <t>Keller Wohnung 1</t>
  </si>
  <si>
    <t>0.42</t>
  </si>
  <si>
    <t>Keller Wohnung 2</t>
  </si>
  <si>
    <t>0.43</t>
  </si>
  <si>
    <t>Keller Wohnung 3</t>
  </si>
  <si>
    <t>0.1</t>
  </si>
  <si>
    <t>Treppenhaus</t>
  </si>
  <si>
    <t>0.2</t>
  </si>
  <si>
    <t>Flur</t>
  </si>
  <si>
    <t>0.6</t>
  </si>
  <si>
    <t>EDV-Raum</t>
  </si>
  <si>
    <t>0.8</t>
  </si>
  <si>
    <t>Elektroraum</t>
  </si>
  <si>
    <t>0.9</t>
  </si>
  <si>
    <t>Haustechnik</t>
  </si>
  <si>
    <t>0.10</t>
  </si>
  <si>
    <t>Abstellraum</t>
  </si>
  <si>
    <t>1.15</t>
  </si>
  <si>
    <t>1.28</t>
  </si>
  <si>
    <t>1.41</t>
  </si>
  <si>
    <t>Treppe</t>
  </si>
  <si>
    <t>2.16</t>
  </si>
  <si>
    <t>2.31</t>
  </si>
  <si>
    <t>2.40</t>
  </si>
  <si>
    <t>1.23</t>
  </si>
  <si>
    <t>1.39</t>
  </si>
  <si>
    <t>1.40</t>
  </si>
  <si>
    <t>2.15</t>
  </si>
  <si>
    <t>2.30</t>
  </si>
  <si>
    <t>2.39</t>
  </si>
  <si>
    <t>KVJS</t>
  </si>
  <si>
    <t xml:space="preserve">Markise </t>
  </si>
  <si>
    <t xml:space="preserve">Waschvollautomat </t>
  </si>
  <si>
    <t>Waschautomat</t>
  </si>
  <si>
    <t xml:space="preserve">2 x Trockner </t>
  </si>
  <si>
    <t xml:space="preserve">Gefrierschrank </t>
  </si>
  <si>
    <t>Farb-Multifunktionsgerät</t>
  </si>
  <si>
    <t>2 x Hubbadewannen</t>
  </si>
  <si>
    <t>2 x Steckbeckenspüler</t>
  </si>
  <si>
    <t>Rollstuhlwaage</t>
  </si>
  <si>
    <t xml:space="preserve">Badesitzlifter </t>
  </si>
  <si>
    <t>Schmutzfangmatten</t>
  </si>
  <si>
    <t>Steckregal mit Fachböden</t>
  </si>
  <si>
    <t xml:space="preserve">Medienanrichte </t>
  </si>
  <si>
    <t xml:space="preserve">Einzelbank </t>
  </si>
  <si>
    <t xml:space="preserve">Tischgruppe </t>
  </si>
  <si>
    <t>Polstergruppe</t>
  </si>
  <si>
    <t>Servicebüro-Kombination</t>
  </si>
  <si>
    <t xml:space="preserve">Regalkombination </t>
  </si>
  <si>
    <t>Konferenztisch</t>
  </si>
  <si>
    <t>Einzelbank</t>
  </si>
  <si>
    <t>Tischgruppe</t>
  </si>
  <si>
    <t>Medienanrichte</t>
  </si>
  <si>
    <t>Garderobenschrank</t>
  </si>
  <si>
    <t xml:space="preserve">Garderobenschrank </t>
  </si>
  <si>
    <t xml:space="preserve">Badschränke </t>
  </si>
  <si>
    <t>Pflegebetten</t>
  </si>
  <si>
    <t xml:space="preserve">Schranksystem </t>
  </si>
  <si>
    <t>Bewohnerschränke</t>
  </si>
  <si>
    <t>Schränke für Wäschewagen</t>
  </si>
  <si>
    <t>Einbau zusätzliche Badewanne</t>
  </si>
  <si>
    <t xml:space="preserve">Schrank </t>
  </si>
  <si>
    <t>Erstausstattung Gardinenstangen</t>
  </si>
  <si>
    <t>Sicherheits-Auffangnetz</t>
  </si>
  <si>
    <t>Schritt B_2: Investitionskosten Sonder-Infrastruktur</t>
  </si>
  <si>
    <t>Schritt C_2: Nebenkosten Sonder-Infrastruktur</t>
  </si>
  <si>
    <t xml:space="preserve">Mietausfallwagnis 
lt. 2. BV §29 </t>
  </si>
  <si>
    <t>Summe Aufschlag Sonder-Infrastruktur</t>
  </si>
  <si>
    <t>Summe Aufschlag Sonder-Infrastrastruktur</t>
  </si>
  <si>
    <t>Gesamtzahl der Nutzer des Sonder-Infrastruktur</t>
  </si>
  <si>
    <t>Summe Gebäude Kaltmiete</t>
  </si>
  <si>
    <r>
      <rPr>
        <b/>
        <sz val="11"/>
        <color theme="1"/>
        <rFont val="Calibri"/>
        <family val="2"/>
        <scheme val="minor"/>
      </rPr>
      <t>Mietverwaltung</t>
    </r>
    <r>
      <rPr>
        <sz val="11"/>
        <color theme="1"/>
        <rFont val="Calibri"/>
        <family val="2"/>
        <scheme val="minor"/>
      </rPr>
      <t xml:space="preserve"> 
lt. 2. BV §26</t>
    </r>
  </si>
  <si>
    <t>p.M.:</t>
  </si>
  <si>
    <t>Aufschlag zentr. Verwaltungsfl.</t>
  </si>
  <si>
    <t>Sonder-Infrastruktur</t>
  </si>
  <si>
    <t>Nebenkosten Sonder-Infrastruktur</t>
  </si>
  <si>
    <t>Möglichkeit zur Bildung von Zimmer-Kategorien</t>
  </si>
  <si>
    <t>Kategorie 1</t>
  </si>
  <si>
    <t>Kategorie 2</t>
  </si>
  <si>
    <t>Durchschnittliche Kalt-Miete pro Monat der persönlichen Wohnfläche</t>
  </si>
  <si>
    <t>Platzzahl</t>
  </si>
  <si>
    <t>Monatliche Gesamt-Kaltmiete der persönlichen Wohnflächen</t>
  </si>
  <si>
    <t>Budgetneutrale Aufteilung auf Kategorien</t>
  </si>
  <si>
    <t>Kontrolle Platzzahl</t>
  </si>
  <si>
    <t>Kontrolle Kaltmiete gesamt</t>
  </si>
  <si>
    <t>(Teilhabe-Aufschlag KdU &gt; 125%)</t>
  </si>
  <si>
    <t>&lt;= Bitte tragen Sie hier ein "x" ein, wenn Sie 3 Zimmerkategorien bilden wollen!</t>
  </si>
  <si>
    <t>Bildung von 3 Zimmerkategorien</t>
  </si>
  <si>
    <t>Bildung von 2 Zimmerkategorien</t>
  </si>
  <si>
    <t>&lt;= Bitte tragen Sie hier ein "x" ein, wenn Sie 2 Zimmerkategorien bilden wollen!</t>
  </si>
  <si>
    <t>monatlicher Investitionsbetrag
Fachleistung</t>
  </si>
  <si>
    <t>Kontrolle Warmmiete Gesamt</t>
  </si>
  <si>
    <t>monatl. Kaltmiete</t>
  </si>
  <si>
    <t>Aufschlag zentr. Verwaltungsflächen</t>
  </si>
  <si>
    <t>durchschnittlliche Kaltmiete</t>
  </si>
  <si>
    <t>Da Wohnflächen und Standards einzelner Zimmerangebote unterschiedlich sein können, können Leistungserbringer ggfs. geeignete Zimmerkategorien nach objektiven Maßstäben bilden (bspw. bei gravierenden Unterschieden von Wohnflächen oder Ausstattungs-Standards). Dabei werden die durchschnittlich ermittelten Kosten für Wohnraumüberlassung in unterschiedliche Kategorien umgerechnet. Die Kategorisierung ist in den WBVG-Verträgen und vorvertraglichen Informationen nachvollziehbar darzustellen. Es wird empfohlen nicht mehr als 3 Kategorien zu bilden.  Für die Bildung von 2 oder 3 Kategorien sind hier Berechnungsformeln hinterlegt.</t>
  </si>
  <si>
    <t>Kalkulationsgrundlage</t>
  </si>
  <si>
    <t>Jahr der Inbetriebnahme (JJJJ)</t>
  </si>
  <si>
    <t>Rechnung mit altem IK-Satz, da Anschaffungs- und Herstellkosten nicht mehr ermittelbar.</t>
  </si>
  <si>
    <t>Neuberechnung auf Basis der Ist-Kosten</t>
  </si>
  <si>
    <t>Bitte tragen Sie ein "x" in Feld D6 ein =&gt;</t>
  </si>
  <si>
    <t>Bitte tragen Sie ein "x" in Feld D8 ein =&gt;</t>
  </si>
  <si>
    <t xml:space="preserve">Nachrichtlich zur transparenten Darstellung im Mietvertrag gem §42a Absatz 5 Satz 4 SGB XII: </t>
  </si>
  <si>
    <t>Vor Ausfüllen des KdU-Berechnungstool wird die Lektüre der Ausfüllhilfe empfohlen!</t>
  </si>
  <si>
    <t>Nebenkosten (ggfs. Schätzung)</t>
  </si>
  <si>
    <t>Höhe der durchschnittlichen angemessenen tatsächlichen Aufwendungen für die 
Warmmiete eines Einpersonenhaushalts in der jeweiligen Kommune</t>
  </si>
  <si>
    <t>Diese Ergebnis-Übersicht stellt alle vertraglich notwendigen Daten für den Fall dar, dass alle Leistungsberechtigten dieselbe Warmmiete bezahlen. Sofern Sie unterschiedliche Mietpreise für verschiedene Zimmer-Kategorien bilden wollen, füllen Sie bitte zusätzlich den Reiter "Zimmer-Kategorien" aus. Die Ergebnisse werden dann dort für die verschiedenen Kategorien dargestellt.</t>
  </si>
  <si>
    <t>Baunebenkosten inkl. Bauherrenkosten</t>
  </si>
  <si>
    <t>Hier sind nur Investitionskosten von Sonder-Infrastruktur außerhalb des konkreten Wohngebäudes zu erfassen, die nicht bereits über andere Refinanzierungsquellen abgedeckt sind, dem konkreten Wohngebäude jedoch anteilig zuzurechnen sind. Siehe Erläuterungen unter Punkt 4.1 im Leitfaden.
Nicht zu berücksichtigen sind die Flächen zentraler Verwaltung, da diese bereits über einen Aufschlag in Höhe von 3% auf die Gesamtmiete automatisch pauschaliert im Reiter Mietberechnung berücksichtigt werden.
Wenn Sie keine zentrale Infrastruktur haben, die anteilig zu berücksichtigen ist, lassen Sie diesen Reiter einfach frei.</t>
  </si>
  <si>
    <t>Zusammenfassung Sonder-Infrastruktur</t>
  </si>
  <si>
    <t>Hier sind nur Nebenkosten einzutragen, die sich auf Sonder-Infrastruktur aus Reiter "B_2 Sonderinfrastruktur" beziehen, die noch nicht über andere Refinanzierungsquellen abgedeckt sind und insbesondere nicht bereits in den Nebenkosten des Wohngebäudes enthalten sind (z.B. über Abrechnung Kosten Strom, Wärme, Wasser, Abwasser...)
Siehe Erläuterungen unter Punkt 4.2 im Leitfaden. 
Nicht zu berücksichtigen sind die Nebenkosten von Flächen zentraler Verwaltung, da diese bereits über einen Aufschlag in Höhe von 3% auf die Gesamtmiete automatisch pauschaliert im Reiter Mietberechnung berücksichtigt werden.
Wenn Sie keine zentrale Infrastruktur haben, die anteilig zu berücksichtigen ist, lassen Sie diesen Reiter einfach frei.</t>
  </si>
  <si>
    <t>Nebenkosten Sonder-Infrastruktur 
GESAMT</t>
  </si>
  <si>
    <t>Gewichtung mit Aufteilungsschlüssel Sonder-Infrastr.</t>
  </si>
  <si>
    <r>
      <t>Aufschlag für zentrale Verwaltungsflächen</t>
    </r>
    <r>
      <rPr>
        <b/>
        <sz val="11"/>
        <rFont val="Calibri"/>
        <family val="2"/>
        <scheme val="minor"/>
      </rPr>
      <t xml:space="preserve"> (3% der Gesamtmiete)</t>
    </r>
  </si>
  <si>
    <t>Bitte tragen Sie ein "x" in Feld D12 ein =&gt;</t>
  </si>
  <si>
    <t>1. Gebäudekosten</t>
  </si>
  <si>
    <r>
      <rPr>
        <b/>
        <sz val="11"/>
        <rFont val="Calibri"/>
        <family val="2"/>
        <scheme val="minor"/>
      </rPr>
      <t xml:space="preserve">Grundsätzlich erfolgt die Berechnung anhand der tatsächlichen angemessenen Kosten. </t>
    </r>
    <r>
      <rPr>
        <sz val="11"/>
        <rFont val="Calibri"/>
        <family val="2"/>
        <scheme val="minor"/>
      </rPr>
      <t>Sofern für Altgebäude die Anschaffungs- und Herstellungskosten nicht mehr nachgewiesen werden können, ist (hilfsweise) der zuletzt vereinbarte IK-Satz anzuwenden. Da der bisherige IK-Satz bereits einen Anteil für Ausstattung enthält, ist Reiter 
"D Ausstattung" in diesem Fall nicht mehr auszufüllen.
Bitte treffen Sie fogende Auswahl:</t>
    </r>
  </si>
  <si>
    <t>Bitte tragen Sie ein "x" in Feld D14 ein =&gt;</t>
  </si>
  <si>
    <r>
      <t xml:space="preserve">Standardfall: Kosten liegen getrennt für Heimbereich vor. Bitte unten nur Gebäudekosten des </t>
    </r>
    <r>
      <rPr>
        <b/>
        <u/>
        <sz val="11"/>
        <rFont val="Calibri"/>
        <family val="2"/>
        <scheme val="minor"/>
      </rPr>
      <t>Heimbereichs</t>
    </r>
    <r>
      <rPr>
        <b/>
        <sz val="11"/>
        <rFont val="Calibri"/>
        <family val="2"/>
        <scheme val="minor"/>
      </rPr>
      <t xml:space="preserve"> erfassen!</t>
    </r>
  </si>
  <si>
    <r>
      <t xml:space="preserve">Sonderfall: Kosten liegen </t>
    </r>
    <r>
      <rPr>
        <b/>
        <u/>
        <sz val="11"/>
        <rFont val="Calibri"/>
        <family val="2"/>
        <scheme val="minor"/>
      </rPr>
      <t>nur für Gesamtgebäude inkl. freier Flächen</t>
    </r>
    <r>
      <rPr>
        <b/>
        <sz val="11"/>
        <rFont val="Calibri"/>
        <family val="2"/>
        <scheme val="minor"/>
      </rPr>
      <t xml:space="preserve"> vor. Bitte unten Kosten des </t>
    </r>
    <r>
      <rPr>
        <b/>
        <u/>
        <sz val="11"/>
        <rFont val="Calibri"/>
        <family val="2"/>
        <scheme val="minor"/>
      </rPr>
      <t>Gesamt</t>
    </r>
    <r>
      <rPr>
        <b/>
        <sz val="11"/>
        <rFont val="Calibri"/>
        <family val="2"/>
        <scheme val="minor"/>
      </rPr>
      <t>gebäudes erfassen!</t>
    </r>
  </si>
  <si>
    <r>
      <t xml:space="preserve">Standardfall: Kosten liegen getrennt für Heimbereich vor. Bitte unten nur Nebenkosten des </t>
    </r>
    <r>
      <rPr>
        <b/>
        <u/>
        <sz val="11"/>
        <rFont val="Calibri"/>
        <family val="2"/>
        <scheme val="minor"/>
      </rPr>
      <t>Heimbereichs</t>
    </r>
    <r>
      <rPr>
        <b/>
        <sz val="11"/>
        <rFont val="Calibri"/>
        <family val="2"/>
        <scheme val="minor"/>
      </rPr>
      <t xml:space="preserve"> erfassen!</t>
    </r>
  </si>
  <si>
    <r>
      <t xml:space="preserve">Sonderfall: Nebenkosten liegen nur für Gesamt-Gebäude inkl. freier Flächen vor. Bitte unten Nebenkosten des </t>
    </r>
    <r>
      <rPr>
        <b/>
        <u/>
        <sz val="11"/>
        <rFont val="Calibri"/>
        <family val="2"/>
        <scheme val="minor"/>
      </rPr>
      <t>Gesamt</t>
    </r>
    <r>
      <rPr>
        <b/>
        <sz val="11"/>
        <rFont val="Calibri"/>
        <family val="2"/>
        <scheme val="minor"/>
      </rPr>
      <t>gebäudes erfassen!</t>
    </r>
  </si>
  <si>
    <r>
      <rPr>
        <b/>
        <sz val="16"/>
        <color theme="1"/>
        <rFont val="Calibri"/>
        <family val="2"/>
        <scheme val="minor"/>
      </rPr>
      <t>Ausstattung des Heimbereichs</t>
    </r>
    <r>
      <rPr>
        <b/>
        <sz val="11"/>
        <color theme="1"/>
        <rFont val="Calibri"/>
        <family val="2"/>
        <scheme val="minor"/>
      </rPr>
      <t xml:space="preserve">
Anlagenbezeichnung</t>
    </r>
  </si>
  <si>
    <t>Stammdaten</t>
  </si>
  <si>
    <t>Die Aufteilung der Flächen in persönlichen Wohnraum und Fachleistungsflächen ist anhand der tatsächlichen Flächen vorzunehmen.</t>
  </si>
  <si>
    <t>Kontrolle:</t>
  </si>
  <si>
    <r>
      <t xml:space="preserve">Nur bei Berechnung mit Ist-Kosten (Standardfall):
</t>
    </r>
    <r>
      <rPr>
        <sz val="11"/>
        <rFont val="Calibri"/>
        <family val="2"/>
        <scheme val="minor"/>
      </rPr>
      <t xml:space="preserve">Sofern die Gebäudekosten bereits getrennt für den Heimbereich vorliegen (bspw. aus Förderverfahren), werden die Kosten anhand des Flächenschlüssels "persönliche Wohnfläche : Fachleistungsflächen" verteilt (Standardfall, Schlüssel aus Reiter A Flächen Feld E174 und E 175). 
Nur sofern die Gebäudekosten lediglich für das Gesamtgebäude </t>
    </r>
    <r>
      <rPr>
        <u/>
        <sz val="11"/>
        <rFont val="Calibri"/>
        <family val="2"/>
        <scheme val="minor"/>
      </rPr>
      <t>inkl. freier Flächen</t>
    </r>
    <r>
      <rPr>
        <sz val="11"/>
        <rFont val="Calibri"/>
        <family val="2"/>
        <scheme val="minor"/>
      </rPr>
      <t xml:space="preserve"> (freie Wohnungen u.ä.) vorliegen, müssen die Kosten anhand des Flächenschlüssels aufgeteilt werden, der auch die freien Flächen berücksichtigt (Sonderfall, Schlüssel aus Reiter A Flächen, Felder E169 und E170)</t>
    </r>
    <r>
      <rPr>
        <b/>
        <sz val="11"/>
        <rFont val="Calibri"/>
        <family val="2"/>
        <scheme val="minor"/>
      </rPr>
      <t xml:space="preserve">
Bitte treffen Sie fogende Auswahl:</t>
    </r>
  </si>
  <si>
    <r>
      <t xml:space="preserve">Aufteilung der Nebenkosten:
</t>
    </r>
    <r>
      <rPr>
        <sz val="11"/>
        <rFont val="Calibri"/>
        <family val="2"/>
        <scheme val="minor"/>
      </rPr>
      <t xml:space="preserve">Sofern die Nebenkosten bereits getrennt für den Heimbereich vorliegen, werden die Kosten anhand des Flächenschlüssels "persönliche Wohnfläche : Fachleistungsflächen" verteilt (Standardfall, Schlüssel aus Reiter A Flächen Feld E174 und E 175). 
Nur sofern die Nebenkosten lediglich für das Gesamtgebäude </t>
    </r>
    <r>
      <rPr>
        <u/>
        <sz val="11"/>
        <rFont val="Calibri"/>
        <family val="2"/>
        <scheme val="minor"/>
      </rPr>
      <t>inkl. freier Flächen</t>
    </r>
    <r>
      <rPr>
        <sz val="11"/>
        <rFont val="Calibri"/>
        <family val="2"/>
        <scheme val="minor"/>
      </rPr>
      <t xml:space="preserve"> (freie Wohnungen u.ä.) vorliegen, müssen die Nebenkosten anhand des Flächenschlüssels aufgeteilt werden, der auch die freien Flächen berücksichtigt (Sonderfall, Schlüssel aus Reiter A Flächen, Felder E169 und E170)</t>
    </r>
    <r>
      <rPr>
        <b/>
        <sz val="11"/>
        <rFont val="Calibri"/>
        <family val="2"/>
        <scheme val="minor"/>
      </rPr>
      <t xml:space="preserve">
Bitte treffen Sie fogende Auswahl:</t>
    </r>
  </si>
  <si>
    <t>Aufwand p.a.  €</t>
  </si>
  <si>
    <t>Zimmer in Wohngruppe</t>
  </si>
  <si>
    <t>Wohngruppe "Würzburger Modell"</t>
  </si>
  <si>
    <t>Einzel-Appartements</t>
  </si>
  <si>
    <t>Aufschlag Sonder-Infastruktur</t>
  </si>
  <si>
    <t>Nebenkosten-Anteil Sonder-Infrastruktur</t>
  </si>
  <si>
    <r>
      <rPr>
        <b/>
        <sz val="14"/>
        <color theme="0"/>
        <rFont val="Calibri"/>
        <family val="2"/>
        <scheme val="minor"/>
      </rPr>
      <t>Basismiete für die privaten Wohnflächen</t>
    </r>
    <r>
      <rPr>
        <b/>
        <sz val="11"/>
        <color theme="0"/>
        <rFont val="Calibri"/>
        <family val="2"/>
        <scheme val="minor"/>
      </rPr>
      <t xml:space="preserve">
Übernahme bis zur Höhe der angemessenen Warmmiete eines Ein-Personen-Haushalts 
im Rahmen der Grundsicherung je nach Kommune:</t>
    </r>
    <r>
      <rPr>
        <b/>
        <sz val="11"/>
        <color theme="1"/>
        <rFont val="Calibri"/>
        <family val="2"/>
        <scheme val="minor"/>
      </rPr>
      <t xml:space="preserve">
</t>
    </r>
  </si>
  <si>
    <r>
      <rPr>
        <b/>
        <sz val="14"/>
        <color theme="0"/>
        <rFont val="Calibri"/>
        <family val="2"/>
        <scheme val="minor"/>
      </rPr>
      <t>Miet-Sonderaufschlag für die privaten Wohnflächen</t>
    </r>
    <r>
      <rPr>
        <sz val="11"/>
        <color theme="0"/>
        <rFont val="Calibri"/>
        <family val="2"/>
        <scheme val="minor"/>
      </rPr>
      <t xml:space="preserve">
Übernahme eines Aufschlag von bis zu 25 % bei Vermietung von gemeinschaftlichen Wohnformen „außerhalb von Wohnungen  
</t>
    </r>
    <r>
      <rPr>
        <sz val="8"/>
        <color theme="0"/>
        <rFont val="Calibri"/>
        <family val="2"/>
        <scheme val="minor"/>
      </rPr>
      <t>(ehem. Wohngruppe bzw. entspricht stationärem Setting)</t>
    </r>
    <r>
      <rPr>
        <sz val="11"/>
        <color theme="0"/>
        <rFont val="Calibri"/>
        <family val="2"/>
        <scheme val="minor"/>
      </rPr>
      <t xml:space="preserve">
</t>
    </r>
  </si>
  <si>
    <r>
      <rPr>
        <b/>
        <sz val="14"/>
        <color theme="0"/>
        <rFont val="Calibri"/>
        <family val="2"/>
        <scheme val="minor"/>
      </rPr>
      <t>Teilhabeaufschlag für die privaten Wohnflächen</t>
    </r>
    <r>
      <rPr>
        <sz val="11"/>
        <color theme="0"/>
        <rFont val="Calibri"/>
        <family val="2"/>
        <scheme val="minor"/>
      </rPr>
      <t xml:space="preserve">
Übernahme der oberhalb der 125 %-Grenze liegenden Aufwendungen für private Wohnflächen durch die Eingliederungshilfe 
(§ 42a Abs.6 SGB XII)
</t>
    </r>
  </si>
  <si>
    <r>
      <rPr>
        <b/>
        <sz val="14"/>
        <color theme="0"/>
        <rFont val="Calibri"/>
        <family val="2"/>
        <scheme val="minor"/>
      </rPr>
      <t xml:space="preserve">Investitionsbetrag für die Fachleistungsflächen  </t>
    </r>
    <r>
      <rPr>
        <sz val="11"/>
        <color theme="0"/>
        <rFont val="Calibri"/>
        <family val="2"/>
        <scheme val="minor"/>
      </rPr>
      <t xml:space="preserve">
für die zur Erbringung der Fachleistungen „erforderlichen betriebsnotwendigen Anlagen“</t>
    </r>
  </si>
  <si>
    <t>In den Wohn- und Wohnnebenkosten enthaltene zusätzliche Kosten</t>
  </si>
  <si>
    <t>weitere zusätzl. Wohn- und Wohnnebenkosten gem. §42a Absatz 5 Satz 4 Nr.2 SGB XII</t>
  </si>
  <si>
    <t>Zuschläge für Instandhaltung von persönlichen Räumlichkeiten und den Räumlichkeiten zur gemeinschaftlichen Nutzung</t>
  </si>
  <si>
    <t>Summe zusätzl. Kosten persönl. Wohnfläche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</si>
</sst>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164" formatCode="0.000"/>
    <numFmt numFmtId="165" formatCode="#,##0.00_ ;[Red]\-#,##0.00\ "/>
    <numFmt numFmtId="166" formatCode="_-* #,##0\ &quot;€&quot;_-;\-* #,##0\ &quot;€&quot;_-;_-* &quot;-&quot;??\ &quot;€&quot;_-;_-@_-"/>
    <numFmt numFmtId="167" formatCode="#,##0.00_-;#,##0.00\-;&quot; &quot;"/>
    <numFmt numFmtId="168" formatCode="#,##0.00_ ;\-#,##0.00\ "/>
    <numFmt numFmtId="169" formatCode="_-* #,##0.00\ [$€-1]_-;\-* #,##0.00\ [$€-1]_-;_-* &quot;-&quot;??\ [$€-1]_-"/>
    <numFmt numFmtId="170" formatCode="#,##0.00\ &quot;€&quot;"/>
  </numFmts>
  <fonts count="6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0"/>
      <name val="Arial"/>
      <family val="2"/>
    </font>
    <font>
      <sz val="9"/>
      <color theme="1"/>
      <name val="Calibri"/>
      <family val="2"/>
      <scheme val="minor"/>
    </font>
    <font>
      <sz val="11"/>
      <name val="Calibri"/>
      <family val="2"/>
      <scheme val="minor"/>
    </font>
    <font>
      <b/>
      <sz val="14"/>
      <color rgb="FFFF0000"/>
      <name val="Calibri"/>
      <family val="2"/>
      <scheme val="minor"/>
    </font>
    <font>
      <b/>
      <sz val="11"/>
      <color rgb="FFFF0000"/>
      <name val="Calibri"/>
      <family val="2"/>
      <scheme val="minor"/>
    </font>
    <font>
      <b/>
      <sz val="11"/>
      <color rgb="FF002060"/>
      <name val="Calibri"/>
      <family val="2"/>
      <scheme val="minor"/>
    </font>
    <font>
      <sz val="11"/>
      <color rgb="FF002060"/>
      <name val="Calibri"/>
      <family val="2"/>
      <scheme val="minor"/>
    </font>
    <font>
      <sz val="14"/>
      <name val="Calibri"/>
      <family val="2"/>
      <scheme val="minor"/>
    </font>
    <font>
      <b/>
      <sz val="14"/>
      <name val="Calibri"/>
      <family val="2"/>
      <scheme val="minor"/>
    </font>
    <font>
      <b/>
      <sz val="11"/>
      <name val="Calibri"/>
      <family val="2"/>
      <scheme val="minor"/>
    </font>
    <font>
      <b/>
      <sz val="11"/>
      <color theme="0" tint="-0.499984740745262"/>
      <name val="Calibri"/>
      <family val="2"/>
      <scheme val="minor"/>
    </font>
    <font>
      <sz val="14"/>
      <color theme="1"/>
      <name val="Calibri"/>
      <family val="2"/>
      <scheme val="minor"/>
    </font>
    <font>
      <sz val="10"/>
      <name val="Calibri"/>
      <family val="2"/>
      <scheme val="minor"/>
    </font>
    <font>
      <b/>
      <sz val="16"/>
      <color indexed="8"/>
      <name val="Calibri"/>
      <family val="2"/>
      <scheme val="minor"/>
    </font>
    <font>
      <sz val="8"/>
      <name val="Calibri"/>
      <family val="2"/>
      <scheme val="minor"/>
    </font>
    <font>
      <b/>
      <u/>
      <sz val="11"/>
      <color theme="1"/>
      <name val="Calibri"/>
      <family val="2"/>
      <scheme val="minor"/>
    </font>
    <font>
      <b/>
      <sz val="12"/>
      <name val="Calibri"/>
      <family val="2"/>
      <scheme val="minor"/>
    </font>
    <font>
      <sz val="8"/>
      <color theme="1"/>
      <name val="Calibri"/>
      <family val="2"/>
      <scheme val="minor"/>
    </font>
    <font>
      <sz val="10"/>
      <color theme="1"/>
      <name val="Calibri"/>
      <family val="2"/>
      <scheme val="minor"/>
    </font>
    <font>
      <b/>
      <sz val="10"/>
      <name val="Calibri"/>
      <family val="2"/>
      <scheme val="minor"/>
    </font>
    <font>
      <b/>
      <sz val="11"/>
      <color indexed="8"/>
      <name val="Calibri"/>
      <family val="2"/>
      <scheme val="minor"/>
    </font>
    <font>
      <b/>
      <sz val="12"/>
      <color theme="1"/>
      <name val="Calibri"/>
      <family val="2"/>
      <scheme val="minor"/>
    </font>
    <font>
      <sz val="11"/>
      <color theme="0" tint="-0.499984740745262"/>
      <name val="Calibri"/>
      <family val="2"/>
      <scheme val="minor"/>
    </font>
    <font>
      <sz val="9"/>
      <name val="Calibri"/>
      <family val="2"/>
      <scheme val="minor"/>
    </font>
    <font>
      <i/>
      <sz val="10"/>
      <color theme="1"/>
      <name val="Calibri"/>
      <family val="2"/>
      <scheme val="minor"/>
    </font>
    <font>
      <b/>
      <sz val="9"/>
      <name val="Calibri"/>
      <family val="2"/>
      <scheme val="minor"/>
    </font>
    <font>
      <b/>
      <sz val="8"/>
      <color indexed="81"/>
      <name val="Tahoma"/>
      <family val="2"/>
    </font>
    <font>
      <sz val="8"/>
      <color indexed="81"/>
      <name val="Tahoma"/>
      <family val="2"/>
    </font>
    <font>
      <b/>
      <sz val="20"/>
      <color theme="1"/>
      <name val="Calibri"/>
      <family val="2"/>
      <scheme val="minor"/>
    </font>
    <font>
      <b/>
      <sz val="20"/>
      <color indexed="8"/>
      <name val="Calibri"/>
      <family val="2"/>
      <scheme val="minor"/>
    </font>
    <font>
      <i/>
      <sz val="11"/>
      <name val="Calibri"/>
      <family val="2"/>
      <scheme val="minor"/>
    </font>
    <font>
      <sz val="12"/>
      <name val="Calibri"/>
      <family val="2"/>
      <scheme val="minor"/>
    </font>
    <font>
      <b/>
      <i/>
      <sz val="11"/>
      <name val="Calibri"/>
      <family val="2"/>
      <scheme val="minor"/>
    </font>
    <font>
      <sz val="11"/>
      <color indexed="8"/>
      <name val="Calibri"/>
      <family val="2"/>
      <scheme val="minor"/>
    </font>
    <font>
      <sz val="9"/>
      <color indexed="81"/>
      <name val="Tahoma"/>
      <family val="2"/>
    </font>
    <font>
      <sz val="10"/>
      <color rgb="FFFF0000"/>
      <name val="Calibri"/>
      <family val="2"/>
      <scheme val="minor"/>
    </font>
    <font>
      <i/>
      <sz val="11"/>
      <color theme="1"/>
      <name val="Calibri"/>
      <family val="2"/>
      <scheme val="minor"/>
    </font>
    <font>
      <i/>
      <sz val="11"/>
      <color theme="0" tint="-0.499984740745262"/>
      <name val="Calibri"/>
      <family val="2"/>
      <scheme val="minor"/>
    </font>
    <font>
      <i/>
      <u/>
      <sz val="11"/>
      <name val="Calibri"/>
      <family val="2"/>
      <scheme val="minor"/>
    </font>
    <font>
      <b/>
      <sz val="20"/>
      <name val="Calibri"/>
      <family val="2"/>
      <scheme val="minor"/>
    </font>
    <font>
      <b/>
      <u/>
      <sz val="12"/>
      <name val="Calibri"/>
      <family val="2"/>
      <scheme val="minor"/>
    </font>
    <font>
      <b/>
      <i/>
      <sz val="12"/>
      <name val="Calibri"/>
      <family val="2"/>
      <scheme val="minor"/>
    </font>
    <font>
      <b/>
      <i/>
      <u/>
      <sz val="12"/>
      <name val="Calibri"/>
      <family val="2"/>
      <scheme val="minor"/>
    </font>
    <font>
      <b/>
      <sz val="14"/>
      <color theme="0" tint="-0.499984740745262"/>
      <name val="Calibri"/>
      <family val="2"/>
      <scheme val="minor"/>
    </font>
    <font>
      <b/>
      <sz val="8"/>
      <name val="Calibri"/>
      <family val="2"/>
      <scheme val="minor"/>
    </font>
    <font>
      <i/>
      <sz val="8"/>
      <color theme="1"/>
      <name val="Calibri"/>
      <family val="2"/>
      <scheme val="minor"/>
    </font>
    <font>
      <b/>
      <sz val="16"/>
      <name val="Calibri"/>
      <family val="2"/>
      <scheme val="minor"/>
    </font>
    <font>
      <b/>
      <sz val="24"/>
      <name val="Calibri"/>
      <family val="2"/>
      <scheme val="minor"/>
    </font>
    <font>
      <b/>
      <sz val="10"/>
      <color rgb="FFFF0000"/>
      <name val="Calibri"/>
      <family val="2"/>
      <scheme val="minor"/>
    </font>
    <font>
      <sz val="24"/>
      <name val="Calibri"/>
      <family val="2"/>
      <scheme val="minor"/>
    </font>
    <font>
      <u/>
      <sz val="11"/>
      <name val="Calibri"/>
      <family val="2"/>
      <scheme val="minor"/>
    </font>
    <font>
      <b/>
      <u/>
      <sz val="11"/>
      <name val="Calibri"/>
      <family val="2"/>
      <scheme val="minor"/>
    </font>
    <font>
      <b/>
      <sz val="16"/>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8"/>
      <color theme="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lightUp">
        <fgColor rgb="FFFFFF66"/>
        <bgColor theme="0" tint="-0.14996795556505021"/>
      </patternFill>
    </fill>
    <fill>
      <patternFill patternType="solid">
        <fgColor theme="0" tint="-4.9989318521683403E-2"/>
        <bgColor indexed="64"/>
      </patternFill>
    </fill>
    <fill>
      <patternFill patternType="solid">
        <fgColor rgb="FFDAE7F6"/>
        <bgColor indexed="64"/>
      </patternFill>
    </fill>
    <fill>
      <patternFill patternType="solid">
        <fgColor rgb="FFDAE7F6"/>
        <bgColor rgb="FFFFFF66"/>
      </patternFill>
    </fill>
    <fill>
      <patternFill patternType="solid">
        <fgColor theme="0" tint="-0.14993743705557422"/>
        <bgColor theme="0"/>
      </patternFill>
    </fill>
    <fill>
      <patternFill patternType="solid">
        <fgColor theme="0" tint="-0.14993743705557422"/>
        <bgColor auto="1"/>
      </patternFill>
    </fill>
    <fill>
      <patternFill patternType="solid">
        <fgColor theme="4" tint="-0.499984740745262"/>
        <bgColor indexed="64"/>
      </patternFill>
    </fill>
    <fill>
      <patternFill patternType="solid">
        <fgColor theme="4" tint="-0.249977111117893"/>
        <bgColor indexed="64"/>
      </patternFill>
    </fill>
  </fills>
  <borders count="9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diagonalUp="1" diagonalDown="1">
      <left style="medium">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diagonalUp="1" diagonalDown="1">
      <left style="medium">
        <color indexed="64"/>
      </left>
      <right style="thin">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style="thick">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thick">
        <color indexed="64"/>
      </top>
      <bottom/>
      <diagonal/>
    </border>
    <border>
      <left/>
      <right/>
      <top/>
      <bottom style="thick">
        <color indexed="64"/>
      </bottom>
      <diagonal/>
    </border>
    <border>
      <left/>
      <right style="medium">
        <color indexed="64"/>
      </right>
      <top style="medium">
        <color indexed="64"/>
      </top>
      <bottom style="medium">
        <color indexed="64"/>
      </bottom>
      <diagonal/>
    </border>
    <border>
      <left style="thin">
        <color indexed="64"/>
      </left>
      <right/>
      <top style="thick">
        <color indexed="64"/>
      </top>
      <bottom/>
      <diagonal/>
    </border>
    <border>
      <left style="thin">
        <color indexed="64"/>
      </left>
      <right/>
      <top/>
      <bottom style="thick">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thin">
        <color indexed="64"/>
      </right>
      <top style="medium">
        <color indexed="64"/>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169" fontId="5" fillId="0" borderId="0" applyFont="0" applyFill="0" applyBorder="0" applyAlignment="0" applyProtection="0"/>
  </cellStyleXfs>
  <cellXfs count="1059">
    <xf numFmtId="0" fontId="0" fillId="0" borderId="0" xfId="0"/>
    <xf numFmtId="0" fontId="7" fillId="4" borderId="4" xfId="0" applyFont="1" applyFill="1" applyBorder="1" applyProtection="1"/>
    <xf numFmtId="0" fontId="44" fillId="4" borderId="0" xfId="0" applyFont="1" applyFill="1" applyBorder="1" applyProtection="1"/>
    <xf numFmtId="0" fontId="7" fillId="4" borderId="0" xfId="0" applyFont="1" applyFill="1" applyBorder="1" applyProtection="1"/>
    <xf numFmtId="0" fontId="13" fillId="4" borderId="40" xfId="0" applyFont="1" applyFill="1" applyBorder="1" applyAlignment="1" applyProtection="1">
      <alignment horizontal="left"/>
    </xf>
    <xf numFmtId="0" fontId="13" fillId="4" borderId="27" xfId="0" applyFont="1" applyFill="1" applyBorder="1" applyProtection="1"/>
    <xf numFmtId="0" fontId="13" fillId="0" borderId="32" xfId="0" applyFont="1" applyFill="1" applyBorder="1" applyAlignment="1" applyProtection="1">
      <alignment horizontal="right"/>
    </xf>
    <xf numFmtId="0" fontId="7" fillId="4" borderId="11" xfId="0" applyFont="1" applyFill="1" applyBorder="1" applyProtection="1"/>
    <xf numFmtId="44" fontId="7" fillId="4" borderId="2" xfId="0" applyNumberFormat="1" applyFont="1" applyFill="1" applyBorder="1" applyProtection="1"/>
    <xf numFmtId="1" fontId="7" fillId="4" borderId="2" xfId="0" applyNumberFormat="1" applyFont="1" applyFill="1" applyBorder="1" applyAlignment="1" applyProtection="1">
      <alignment horizontal="right"/>
    </xf>
    <xf numFmtId="44" fontId="7" fillId="0" borderId="80" xfId="0" applyNumberFormat="1" applyFont="1" applyFill="1" applyBorder="1" applyProtection="1"/>
    <xf numFmtId="1" fontId="7" fillId="0" borderId="12" xfId="0" applyNumberFormat="1" applyFont="1" applyFill="1" applyBorder="1" applyAlignment="1" applyProtection="1">
      <alignment horizontal="center" wrapText="1"/>
    </xf>
    <xf numFmtId="44" fontId="7" fillId="0" borderId="83" xfId="0" applyNumberFormat="1" applyFont="1" applyFill="1" applyBorder="1" applyProtection="1"/>
    <xf numFmtId="0" fontId="14" fillId="4" borderId="7" xfId="0" applyFont="1" applyFill="1" applyBorder="1" applyProtection="1"/>
    <xf numFmtId="0" fontId="13" fillId="4" borderId="14" xfId="0" applyFont="1" applyFill="1" applyBorder="1" applyProtection="1"/>
    <xf numFmtId="0" fontId="13" fillId="4" borderId="15" xfId="0" applyFont="1" applyFill="1" applyBorder="1" applyProtection="1"/>
    <xf numFmtId="0" fontId="14" fillId="4" borderId="2" xfId="0" applyFont="1" applyFill="1" applyBorder="1" applyAlignment="1" applyProtection="1">
      <alignment horizontal="center" wrapText="1"/>
    </xf>
    <xf numFmtId="0" fontId="14" fillId="4" borderId="16" xfId="0" applyFont="1" applyFill="1" applyBorder="1" applyAlignment="1" applyProtection="1">
      <alignment horizontal="center" wrapText="1"/>
    </xf>
    <xf numFmtId="0" fontId="13" fillId="4" borderId="2" xfId="0" applyFont="1" applyFill="1" applyBorder="1" applyAlignment="1" applyProtection="1">
      <alignment horizontal="center" wrapText="1"/>
    </xf>
    <xf numFmtId="1" fontId="13" fillId="4" borderId="16" xfId="0" applyNumberFormat="1" applyFont="1" applyFill="1" applyBorder="1" applyAlignment="1" applyProtection="1">
      <alignment horizontal="center" wrapText="1"/>
    </xf>
    <xf numFmtId="0" fontId="13" fillId="2" borderId="2" xfId="0" applyFont="1" applyFill="1" applyBorder="1" applyProtection="1"/>
    <xf numFmtId="0" fontId="13" fillId="2" borderId="16" xfId="0" applyFont="1" applyFill="1" applyBorder="1" applyProtection="1"/>
    <xf numFmtId="44" fontId="13" fillId="2" borderId="2" xfId="0" applyNumberFormat="1" applyFont="1" applyFill="1" applyBorder="1" applyAlignment="1" applyProtection="1">
      <alignment horizontal="right"/>
    </xf>
    <xf numFmtId="0" fontId="13" fillId="2" borderId="18" xfId="0" applyFont="1" applyFill="1" applyBorder="1" applyProtection="1"/>
    <xf numFmtId="44" fontId="13" fillId="2" borderId="13" xfId="0" applyNumberFormat="1" applyFont="1" applyFill="1" applyBorder="1" applyAlignment="1" applyProtection="1">
      <alignment horizontal="right"/>
    </xf>
    <xf numFmtId="0" fontId="13" fillId="2" borderId="12" xfId="0" applyFont="1" applyFill="1" applyBorder="1" applyProtection="1"/>
    <xf numFmtId="0" fontId="13" fillId="2" borderId="52" xfId="0" applyFont="1" applyFill="1" applyBorder="1" applyProtection="1"/>
    <xf numFmtId="44" fontId="13" fillId="2" borderId="12" xfId="0" applyNumberFormat="1" applyFont="1" applyFill="1" applyBorder="1" applyAlignment="1" applyProtection="1">
      <alignment horizontal="right"/>
    </xf>
    <xf numFmtId="0" fontId="13" fillId="4" borderId="7" xfId="0" applyFont="1" applyFill="1" applyBorder="1" applyProtection="1"/>
    <xf numFmtId="0" fontId="13" fillId="4" borderId="1" xfId="0" applyFont="1" applyFill="1" applyBorder="1" applyProtection="1"/>
    <xf numFmtId="44" fontId="13" fillId="2" borderId="8" xfId="0" applyNumberFormat="1" applyFont="1" applyFill="1" applyBorder="1" applyAlignment="1" applyProtection="1">
      <alignment horizontal="right"/>
    </xf>
    <xf numFmtId="0" fontId="7" fillId="4" borderId="6" xfId="0" applyFont="1" applyFill="1" applyBorder="1" applyProtection="1"/>
    <xf numFmtId="0" fontId="7" fillId="4" borderId="0" xfId="0" applyFont="1" applyFill="1" applyBorder="1" applyAlignment="1" applyProtection="1">
      <alignment horizontal="right"/>
    </xf>
    <xf numFmtId="0" fontId="7" fillId="4" borderId="11" xfId="0" applyFont="1" applyFill="1" applyBorder="1" applyAlignment="1" applyProtection="1">
      <alignment horizontal="right"/>
    </xf>
    <xf numFmtId="0" fontId="13" fillId="2" borderId="87" xfId="0" applyFont="1" applyFill="1" applyBorder="1" applyProtection="1"/>
    <xf numFmtId="0" fontId="13" fillId="2" borderId="84" xfId="0" applyFont="1" applyFill="1" applyBorder="1" applyProtection="1"/>
    <xf numFmtId="0" fontId="7" fillId="2" borderId="85" xfId="0" applyFont="1" applyFill="1" applyBorder="1" applyProtection="1"/>
    <xf numFmtId="0" fontId="7" fillId="4" borderId="0" xfId="0" applyFont="1" applyFill="1" applyBorder="1" applyAlignment="1" applyProtection="1">
      <alignment horizontal="left"/>
    </xf>
    <xf numFmtId="0" fontId="13" fillId="2" borderId="3" xfId="0" applyFont="1" applyFill="1" applyBorder="1" applyProtection="1"/>
    <xf numFmtId="0" fontId="13" fillId="2" borderId="4" xfId="0" applyFont="1" applyFill="1" applyBorder="1" applyProtection="1"/>
    <xf numFmtId="0" fontId="7" fillId="2" borderId="7" xfId="0" applyFont="1" applyFill="1" applyBorder="1" applyProtection="1"/>
    <xf numFmtId="0" fontId="7" fillId="2" borderId="1" xfId="0" applyFont="1" applyFill="1" applyBorder="1" applyProtection="1"/>
    <xf numFmtId="0" fontId="13" fillId="2" borderId="6" xfId="0" applyFont="1" applyFill="1" applyBorder="1" applyProtection="1"/>
    <xf numFmtId="0" fontId="13" fillId="2" borderId="0" xfId="0" applyFont="1" applyFill="1" applyBorder="1" applyProtection="1"/>
    <xf numFmtId="0" fontId="13" fillId="2" borderId="88" xfId="0" applyFont="1" applyFill="1" applyBorder="1" applyProtection="1"/>
    <xf numFmtId="0" fontId="13" fillId="2" borderId="85" xfId="0" applyFont="1" applyFill="1" applyBorder="1" applyProtection="1"/>
    <xf numFmtId="0" fontId="13" fillId="4" borderId="26" xfId="0" applyFont="1" applyFill="1" applyBorder="1" applyProtection="1"/>
    <xf numFmtId="0" fontId="7" fillId="4" borderId="41" xfId="0" applyFont="1" applyFill="1" applyBorder="1" applyProtection="1"/>
    <xf numFmtId="44" fontId="13" fillId="4" borderId="28" xfId="0" applyNumberFormat="1" applyFont="1" applyFill="1" applyBorder="1" applyProtection="1"/>
    <xf numFmtId="44" fontId="13" fillId="4" borderId="25" xfId="0" applyNumberFormat="1" applyFont="1" applyFill="1" applyBorder="1" applyProtection="1"/>
    <xf numFmtId="44" fontId="13" fillId="4" borderId="86" xfId="0" applyNumberFormat="1" applyFont="1" applyFill="1" applyBorder="1" applyProtection="1"/>
    <xf numFmtId="0" fontId="13" fillId="4" borderId="6" xfId="0" applyFont="1" applyFill="1" applyBorder="1" applyProtection="1"/>
    <xf numFmtId="0" fontId="13" fillId="4" borderId="0" xfId="0" applyFont="1" applyFill="1" applyBorder="1" applyProtection="1"/>
    <xf numFmtId="0" fontId="7" fillId="4" borderId="0" xfId="0" applyFont="1" applyFill="1" applyBorder="1" applyAlignment="1" applyProtection="1">
      <alignment wrapText="1"/>
    </xf>
    <xf numFmtId="44" fontId="14" fillId="2" borderId="2" xfId="0" applyNumberFormat="1" applyFont="1" applyFill="1" applyBorder="1" applyProtection="1"/>
    <xf numFmtId="44" fontId="14" fillId="2" borderId="12" xfId="0" applyNumberFormat="1" applyFont="1" applyFill="1" applyBorder="1" applyProtection="1"/>
    <xf numFmtId="0" fontId="14" fillId="4" borderId="20" xfId="0" applyFont="1" applyFill="1" applyBorder="1" applyProtection="1"/>
    <xf numFmtId="0" fontId="14" fillId="4" borderId="10" xfId="0" applyFont="1" applyFill="1" applyBorder="1" applyProtection="1"/>
    <xf numFmtId="44" fontId="14" fillId="4" borderId="53" xfId="0" applyNumberFormat="1" applyFont="1" applyFill="1" applyBorder="1" applyProtection="1"/>
    <xf numFmtId="44" fontId="7" fillId="2" borderId="19" xfId="0" applyNumberFormat="1" applyFont="1" applyFill="1" applyBorder="1" applyProtection="1"/>
    <xf numFmtId="1" fontId="7" fillId="2" borderId="19" xfId="0" applyNumberFormat="1" applyFont="1" applyFill="1" applyBorder="1" applyAlignment="1" applyProtection="1">
      <alignment horizontal="center"/>
    </xf>
    <xf numFmtId="44" fontId="7" fillId="2" borderId="82" xfId="0" applyNumberFormat="1" applyFont="1" applyFill="1" applyBorder="1" applyProtection="1"/>
    <xf numFmtId="44" fontId="13" fillId="7" borderId="12" xfId="0" applyNumberFormat="1" applyFont="1" applyFill="1" applyBorder="1" applyProtection="1"/>
    <xf numFmtId="0" fontId="14" fillId="4" borderId="2" xfId="0" applyFont="1" applyFill="1" applyBorder="1" applyAlignment="1" applyProtection="1">
      <alignment horizontal="left"/>
    </xf>
    <xf numFmtId="0" fontId="33" fillId="4" borderId="3" xfId="0" applyFont="1" applyFill="1" applyBorder="1" applyProtection="1">
      <protection locked="0"/>
    </xf>
    <xf numFmtId="0" fontId="0" fillId="4" borderId="4" xfId="0" applyFill="1" applyBorder="1" applyProtection="1">
      <protection locked="0"/>
    </xf>
    <xf numFmtId="0" fontId="0" fillId="4" borderId="18" xfId="0" applyFill="1" applyBorder="1" applyProtection="1">
      <protection locked="0"/>
    </xf>
    <xf numFmtId="0" fontId="0" fillId="0" borderId="0" xfId="0" applyProtection="1">
      <protection locked="0"/>
    </xf>
    <xf numFmtId="0" fontId="33" fillId="4" borderId="6" xfId="0" applyFont="1" applyFill="1" applyBorder="1" applyProtection="1">
      <protection locked="0"/>
    </xf>
    <xf numFmtId="0" fontId="0" fillId="4" borderId="0" xfId="0" applyFill="1" applyBorder="1" applyProtection="1">
      <protection locked="0"/>
    </xf>
    <xf numFmtId="0" fontId="3" fillId="4" borderId="11" xfId="0" applyFont="1" applyFill="1" applyBorder="1" applyAlignment="1" applyProtection="1">
      <alignment horizontal="right"/>
      <protection locked="0"/>
    </xf>
    <xf numFmtId="0" fontId="0" fillId="3" borderId="14" xfId="0" applyFont="1" applyFill="1" applyBorder="1" applyProtection="1">
      <protection locked="0"/>
    </xf>
    <xf numFmtId="0" fontId="0" fillId="3" borderId="16" xfId="0" applyFont="1" applyFill="1" applyBorder="1" applyProtection="1">
      <protection locked="0"/>
    </xf>
    <xf numFmtId="0" fontId="0" fillId="4" borderId="11" xfId="0" applyFill="1" applyBorder="1" applyProtection="1">
      <protection locked="0"/>
    </xf>
    <xf numFmtId="0" fontId="0" fillId="4" borderId="6" xfId="0" applyFont="1" applyFill="1" applyBorder="1" applyProtection="1">
      <protection locked="0"/>
    </xf>
    <xf numFmtId="0" fontId="0" fillId="3" borderId="2" xfId="0" applyFont="1" applyFill="1" applyBorder="1" applyAlignment="1" applyProtection="1">
      <alignment horizontal="left"/>
      <protection locked="0"/>
    </xf>
    <xf numFmtId="0" fontId="7" fillId="4" borderId="6" xfId="0" applyFont="1" applyFill="1" applyBorder="1" applyProtection="1">
      <protection locked="0"/>
    </xf>
    <xf numFmtId="1" fontId="7" fillId="3" borderId="2" xfId="0" applyNumberFormat="1" applyFont="1" applyFill="1" applyBorder="1" applyAlignment="1" applyProtection="1">
      <alignment horizontal="left"/>
      <protection locked="0"/>
    </xf>
    <xf numFmtId="0" fontId="0" fillId="4" borderId="6" xfId="0" applyFill="1" applyBorder="1" applyProtection="1">
      <protection locked="0"/>
    </xf>
    <xf numFmtId="0" fontId="41" fillId="4" borderId="6" xfId="0" applyFont="1" applyFill="1" applyBorder="1" applyProtection="1">
      <protection locked="0"/>
    </xf>
    <xf numFmtId="0" fontId="0" fillId="0" borderId="7" xfId="0" applyBorder="1" applyProtection="1">
      <protection locked="0"/>
    </xf>
    <xf numFmtId="0" fontId="0" fillId="0" borderId="1" xfId="0" applyBorder="1" applyProtection="1">
      <protection locked="0"/>
    </xf>
    <xf numFmtId="0" fontId="0" fillId="0" borderId="17" xfId="0" applyBorder="1" applyProtection="1">
      <protection locked="0"/>
    </xf>
    <xf numFmtId="0" fontId="44" fillId="4" borderId="3" xfId="0" applyFont="1" applyFill="1" applyBorder="1" applyProtection="1">
      <protection locked="0"/>
    </xf>
    <xf numFmtId="0" fontId="7" fillId="4" borderId="4" xfId="0" applyFont="1" applyFill="1" applyBorder="1" applyProtection="1">
      <protection locked="0"/>
    </xf>
    <xf numFmtId="0" fontId="2" fillId="0" borderId="0" xfId="0" applyFont="1" applyProtection="1">
      <protection locked="0"/>
    </xf>
    <xf numFmtId="0" fontId="0" fillId="0" borderId="0" xfId="0" applyAlignment="1" applyProtection="1">
      <alignment horizontal="right"/>
      <protection locked="0"/>
    </xf>
    <xf numFmtId="0" fontId="44" fillId="4" borderId="6" xfId="0" applyFont="1" applyFill="1" applyBorder="1" applyProtection="1">
      <protection locked="0"/>
    </xf>
    <xf numFmtId="0" fontId="7" fillId="4" borderId="0" xfId="0" applyFont="1" applyFill="1" applyBorder="1" applyProtection="1">
      <protection locked="0"/>
    </xf>
    <xf numFmtId="0" fontId="14" fillId="4" borderId="11" xfId="0" applyFont="1" applyFill="1" applyBorder="1" applyAlignment="1" applyProtection="1">
      <alignment horizontal="right"/>
      <protection locked="0"/>
    </xf>
    <xf numFmtId="0" fontId="13" fillId="4" borderId="3" xfId="0" applyFont="1" applyFill="1" applyBorder="1" applyAlignment="1" applyProtection="1">
      <alignment horizontal="left"/>
      <protection locked="0"/>
    </xf>
    <xf numFmtId="0" fontId="13" fillId="4" borderId="4" xfId="0" applyFont="1" applyFill="1" applyBorder="1" applyProtection="1">
      <protection locked="0"/>
    </xf>
    <xf numFmtId="0" fontId="0" fillId="4" borderId="18" xfId="0" applyFont="1" applyFill="1" applyBorder="1" applyProtection="1">
      <protection locked="0"/>
    </xf>
    <xf numFmtId="0" fontId="7" fillId="4" borderId="11" xfId="0" applyFont="1" applyFill="1" applyBorder="1" applyProtection="1">
      <protection locked="0"/>
    </xf>
    <xf numFmtId="0" fontId="40" fillId="0" borderId="0" xfId="3" applyFont="1" applyFill="1" applyProtection="1">
      <protection locked="0"/>
    </xf>
    <xf numFmtId="0" fontId="13" fillId="4" borderId="14" xfId="0" applyFont="1" applyFill="1" applyBorder="1" applyProtection="1">
      <protection locked="0"/>
    </xf>
    <xf numFmtId="0" fontId="22" fillId="0" borderId="0" xfId="0" applyFont="1" applyAlignment="1" applyProtection="1">
      <alignment horizontal="right"/>
      <protection locked="0"/>
    </xf>
    <xf numFmtId="0" fontId="22" fillId="0" borderId="0" xfId="0" applyFont="1" applyProtection="1">
      <protection locked="0"/>
    </xf>
    <xf numFmtId="0" fontId="13" fillId="2" borderId="2" xfId="0" applyFont="1" applyFill="1" applyBorder="1" applyProtection="1">
      <protection locked="0"/>
    </xf>
    <xf numFmtId="0" fontId="13" fillId="2" borderId="12" xfId="0" applyFont="1" applyFill="1" applyBorder="1" applyProtection="1">
      <protection locked="0"/>
    </xf>
    <xf numFmtId="0" fontId="13" fillId="4" borderId="7" xfId="0" applyFont="1" applyFill="1" applyBorder="1" applyProtection="1">
      <protection locked="0"/>
    </xf>
    <xf numFmtId="0" fontId="7" fillId="4" borderId="0" xfId="0" applyFont="1" applyFill="1" applyBorder="1" applyAlignment="1" applyProtection="1">
      <alignment horizontal="right"/>
      <protection locked="0"/>
    </xf>
    <xf numFmtId="0" fontId="7" fillId="0" borderId="0" xfId="0" applyFont="1" applyBorder="1" applyProtection="1">
      <protection locked="0"/>
    </xf>
    <xf numFmtId="44" fontId="22" fillId="0" borderId="0" xfId="0" applyNumberFormat="1" applyFont="1" applyAlignment="1" applyProtection="1">
      <alignment horizontal="right"/>
      <protection locked="0"/>
    </xf>
    <xf numFmtId="0" fontId="13" fillId="2" borderId="6" xfId="0" applyFont="1" applyFill="1" applyBorder="1" applyProtection="1">
      <protection locked="0"/>
    </xf>
    <xf numFmtId="0" fontId="2" fillId="4" borderId="11" xfId="0" applyFont="1" applyFill="1" applyBorder="1" applyProtection="1">
      <protection locked="0"/>
    </xf>
    <xf numFmtId="0" fontId="13" fillId="4" borderId="6" xfId="0" applyFont="1" applyFill="1" applyBorder="1" applyProtection="1">
      <protection locked="0"/>
    </xf>
    <xf numFmtId="0" fontId="7" fillId="4" borderId="0" xfId="0" applyFont="1" applyFill="1" applyBorder="1" applyAlignment="1" applyProtection="1">
      <alignment wrapText="1"/>
      <protection locked="0"/>
    </xf>
    <xf numFmtId="0" fontId="7" fillId="2" borderId="2" xfId="0" applyFont="1" applyFill="1" applyBorder="1" applyProtection="1">
      <protection locked="0"/>
    </xf>
    <xf numFmtId="0" fontId="0" fillId="0" borderId="0" xfId="0" applyFill="1" applyProtection="1">
      <protection locked="0"/>
    </xf>
    <xf numFmtId="0" fontId="22" fillId="0" borderId="0" xfId="0" applyFont="1" applyFill="1" applyAlignment="1" applyProtection="1">
      <alignment horizontal="right"/>
      <protection locked="0"/>
    </xf>
    <xf numFmtId="0" fontId="22" fillId="0" borderId="0" xfId="0" applyFont="1" applyFill="1" applyProtection="1">
      <protection locked="0"/>
    </xf>
    <xf numFmtId="0" fontId="14" fillId="4" borderId="7" xfId="0" applyFont="1" applyFill="1" applyBorder="1" applyProtection="1">
      <protection locked="0"/>
    </xf>
    <xf numFmtId="0" fontId="7" fillId="4" borderId="7" xfId="0" applyFont="1" applyFill="1" applyBorder="1" applyProtection="1">
      <protection locked="0"/>
    </xf>
    <xf numFmtId="0" fontId="7" fillId="4" borderId="1" xfId="0" applyFont="1" applyFill="1" applyBorder="1" applyProtection="1">
      <protection locked="0"/>
    </xf>
    <xf numFmtId="0" fontId="2" fillId="4" borderId="17" xfId="0" applyFont="1" applyFill="1" applyBorder="1" applyProtection="1">
      <protection locked="0"/>
    </xf>
    <xf numFmtId="0" fontId="13" fillId="0" borderId="2" xfId="0" applyFont="1" applyBorder="1" applyProtection="1"/>
    <xf numFmtId="0" fontId="12" fillId="4" borderId="2" xfId="0" applyFont="1" applyFill="1" applyBorder="1" applyAlignment="1" applyProtection="1">
      <alignment horizontal="center"/>
    </xf>
    <xf numFmtId="0" fontId="13" fillId="0" borderId="14" xfId="0" applyFont="1" applyBorder="1" applyProtection="1"/>
    <xf numFmtId="0" fontId="7" fillId="4" borderId="15" xfId="0" applyFont="1" applyFill="1" applyBorder="1" applyAlignment="1" applyProtection="1">
      <alignment horizontal="center" wrapText="1"/>
    </xf>
    <xf numFmtId="0" fontId="7" fillId="4" borderId="15" xfId="0" applyFont="1" applyFill="1" applyBorder="1" applyAlignment="1" applyProtection="1">
      <alignment horizontal="center"/>
    </xf>
    <xf numFmtId="0" fontId="13" fillId="4" borderId="16" xfId="0" applyFont="1" applyFill="1" applyBorder="1" applyAlignment="1" applyProtection="1">
      <alignment horizontal="center"/>
    </xf>
    <xf numFmtId="0" fontId="17" fillId="4" borderId="15" xfId="0" applyFont="1" applyFill="1" applyBorder="1" applyAlignment="1" applyProtection="1">
      <alignment horizontal="left"/>
    </xf>
    <xf numFmtId="0" fontId="7" fillId="4" borderId="16" xfId="0" applyFont="1" applyFill="1" applyBorder="1" applyAlignment="1" applyProtection="1">
      <alignment horizontal="center"/>
    </xf>
    <xf numFmtId="2" fontId="13" fillId="2" borderId="2" xfId="0" applyNumberFormat="1" applyFont="1" applyFill="1" applyBorder="1" applyAlignment="1" applyProtection="1">
      <alignment horizontal="right" wrapText="1"/>
    </xf>
    <xf numFmtId="2" fontId="13" fillId="4" borderId="2" xfId="0" applyNumberFormat="1" applyFont="1" applyFill="1" applyBorder="1" applyAlignment="1" applyProtection="1">
      <alignment horizontal="right" wrapText="1"/>
    </xf>
    <xf numFmtId="2" fontId="13" fillId="4" borderId="2" xfId="0" applyNumberFormat="1" applyFont="1" applyFill="1" applyBorder="1" applyAlignment="1" applyProtection="1">
      <alignment horizontal="right"/>
    </xf>
    <xf numFmtId="44" fontId="12" fillId="4" borderId="2" xfId="0" applyNumberFormat="1" applyFont="1" applyFill="1" applyBorder="1" applyAlignment="1" applyProtection="1">
      <alignment horizontal="right"/>
    </xf>
    <xf numFmtId="44" fontId="13" fillId="4" borderId="8" xfId="0" applyNumberFormat="1" applyFont="1" applyFill="1" applyBorder="1" applyAlignment="1" applyProtection="1">
      <alignment horizontal="right"/>
    </xf>
    <xf numFmtId="0" fontId="7" fillId="4" borderId="2" xfId="0" applyFont="1" applyFill="1" applyBorder="1" applyAlignment="1" applyProtection="1">
      <alignment horizontal="center" vertical="top" wrapText="1"/>
    </xf>
    <xf numFmtId="0" fontId="13" fillId="2" borderId="64" xfId="0" applyFont="1" applyFill="1" applyBorder="1" applyProtection="1"/>
    <xf numFmtId="0" fontId="7" fillId="2" borderId="67" xfId="0" applyFont="1" applyFill="1" applyBorder="1" applyProtection="1"/>
    <xf numFmtId="0" fontId="2" fillId="0" borderId="6" xfId="0" applyFont="1" applyBorder="1" applyAlignment="1" applyProtection="1">
      <alignment horizontal="left"/>
    </xf>
    <xf numFmtId="0" fontId="7" fillId="0" borderId="0" xfId="0" applyFont="1" applyBorder="1" applyProtection="1"/>
    <xf numFmtId="0" fontId="13" fillId="2" borderId="67" xfId="0" applyFont="1" applyFill="1" applyBorder="1" applyProtection="1"/>
    <xf numFmtId="0" fontId="7" fillId="2" borderId="2" xfId="0" applyFont="1" applyFill="1" applyBorder="1" applyAlignment="1" applyProtection="1">
      <alignment wrapText="1"/>
    </xf>
    <xf numFmtId="0" fontId="7" fillId="2" borderId="2" xfId="0" applyFont="1" applyFill="1" applyBorder="1" applyProtection="1"/>
    <xf numFmtId="0" fontId="7" fillId="2" borderId="12" xfId="0" applyFont="1" applyFill="1" applyBorder="1" applyAlignment="1" applyProtection="1">
      <alignment wrapText="1"/>
    </xf>
    <xf numFmtId="44" fontId="14" fillId="4" borderId="74" xfId="0" applyNumberFormat="1" applyFont="1" applyFill="1" applyBorder="1" applyProtection="1"/>
    <xf numFmtId="2" fontId="22" fillId="0" borderId="0" xfId="0" applyNumberFormat="1" applyFont="1" applyAlignment="1" applyProtection="1">
      <alignment horizontal="right"/>
    </xf>
    <xf numFmtId="0" fontId="22" fillId="0" borderId="0" xfId="0" applyFont="1" applyProtection="1"/>
    <xf numFmtId="0" fontId="22" fillId="0" borderId="0" xfId="0" applyFont="1" applyAlignment="1" applyProtection="1">
      <alignment horizontal="right"/>
    </xf>
    <xf numFmtId="0" fontId="0" fillId="4" borderId="6" xfId="0" applyFont="1" applyFill="1" applyBorder="1" applyProtection="1"/>
    <xf numFmtId="0" fontId="0" fillId="4" borderId="14" xfId="0" applyFill="1" applyBorder="1" applyAlignment="1" applyProtection="1">
      <alignment horizontal="left"/>
    </xf>
    <xf numFmtId="0" fontId="0" fillId="4" borderId="16" xfId="0" applyFill="1" applyBorder="1" applyProtection="1"/>
    <xf numFmtId="0" fontId="0" fillId="4" borderId="4" xfId="0" applyFont="1" applyFill="1" applyBorder="1" applyProtection="1">
      <protection locked="0"/>
    </xf>
    <xf numFmtId="0" fontId="0" fillId="0" borderId="0" xfId="0" applyFont="1" applyProtection="1">
      <protection locked="0"/>
    </xf>
    <xf numFmtId="0" fontId="0" fillId="4" borderId="0" xfId="0" applyFont="1" applyFill="1" applyBorder="1" applyProtection="1">
      <protection locked="0"/>
    </xf>
    <xf numFmtId="0" fontId="0" fillId="0" borderId="0" xfId="0" applyFont="1" applyBorder="1" applyProtection="1">
      <protection locked="0"/>
    </xf>
    <xf numFmtId="0" fontId="0" fillId="4" borderId="15" xfId="0" applyFill="1" applyBorder="1" applyProtection="1">
      <protection locked="0"/>
    </xf>
    <xf numFmtId="0" fontId="0" fillId="4" borderId="15" xfId="0" applyFont="1" applyFill="1" applyBorder="1" applyProtection="1">
      <protection locked="0"/>
    </xf>
    <xf numFmtId="0" fontId="0" fillId="0" borderId="16" xfId="0" applyFont="1" applyBorder="1" applyProtection="1">
      <protection locked="0"/>
    </xf>
    <xf numFmtId="0" fontId="25" fillId="4" borderId="40" xfId="0" applyFont="1" applyFill="1" applyBorder="1" applyProtection="1">
      <protection locked="0"/>
    </xf>
    <xf numFmtId="0" fontId="3" fillId="4" borderId="27" xfId="0" applyFont="1" applyFill="1" applyBorder="1" applyProtection="1">
      <protection locked="0"/>
    </xf>
    <xf numFmtId="0" fontId="3" fillId="0" borderId="32" xfId="0" applyFont="1" applyBorder="1" applyProtection="1">
      <protection locked="0"/>
    </xf>
    <xf numFmtId="0" fontId="3" fillId="0" borderId="0" xfId="0" applyFont="1" applyProtection="1">
      <protection locked="0"/>
    </xf>
    <xf numFmtId="0" fontId="3" fillId="0" borderId="0" xfId="0" applyFont="1" applyFill="1" applyProtection="1">
      <protection locked="0"/>
    </xf>
    <xf numFmtId="0" fontId="0" fillId="0" borderId="0" xfId="0" applyFont="1" applyFill="1" applyBorder="1" applyProtection="1">
      <protection locked="0"/>
    </xf>
    <xf numFmtId="0" fontId="25" fillId="4" borderId="20" xfId="0" applyFont="1" applyFill="1" applyBorder="1" applyProtection="1">
      <protection locked="0"/>
    </xf>
    <xf numFmtId="0" fontId="3" fillId="4" borderId="10" xfId="0" applyFont="1" applyFill="1" applyBorder="1" applyProtection="1">
      <protection locked="0"/>
    </xf>
    <xf numFmtId="0" fontId="9" fillId="0" borderId="41" xfId="0" applyFont="1" applyBorder="1" applyAlignment="1" applyProtection="1">
      <alignment horizontal="right"/>
      <protection locked="0"/>
    </xf>
    <xf numFmtId="0" fontId="3" fillId="2" borderId="20" xfId="0" applyFont="1" applyFill="1" applyBorder="1" applyProtection="1">
      <protection locked="0"/>
    </xf>
    <xf numFmtId="0" fontId="0" fillId="2" borderId="10" xfId="0" applyFont="1" applyFill="1" applyBorder="1" applyProtection="1">
      <protection locked="0"/>
    </xf>
    <xf numFmtId="0" fontId="0" fillId="4" borderId="24" xfId="0" applyFont="1" applyFill="1" applyBorder="1" applyAlignment="1" applyProtection="1">
      <alignment vertical="top"/>
      <protection locked="0"/>
    </xf>
    <xf numFmtId="0" fontId="0" fillId="4" borderId="24" xfId="0" applyFont="1" applyFill="1" applyBorder="1" applyAlignment="1" applyProtection="1">
      <alignment vertical="top" wrapText="1"/>
      <protection locked="0"/>
    </xf>
    <xf numFmtId="0" fontId="3" fillId="4" borderId="24" xfId="0" applyFont="1" applyFill="1" applyBorder="1" applyAlignment="1" applyProtection="1">
      <alignment horizontal="right" vertical="top" wrapText="1"/>
      <protection locked="0"/>
    </xf>
    <xf numFmtId="167" fontId="14" fillId="4" borderId="24" xfId="3" applyNumberFormat="1" applyFont="1" applyFill="1" applyBorder="1" applyAlignment="1" applyProtection="1">
      <alignment horizontal="center" vertical="top" wrapText="1"/>
      <protection locked="0"/>
    </xf>
    <xf numFmtId="167" fontId="15" fillId="4" borderId="24" xfId="3" applyNumberFormat="1" applyFont="1" applyFill="1" applyBorder="1" applyAlignment="1" applyProtection="1">
      <alignment horizontal="center" vertical="top" wrapText="1"/>
      <protection locked="0"/>
    </xf>
    <xf numFmtId="49" fontId="0" fillId="3" borderId="2" xfId="0" applyNumberFormat="1" applyFont="1" applyFill="1" applyBorder="1" applyAlignment="1" applyProtection="1">
      <protection locked="0"/>
    </xf>
    <xf numFmtId="49" fontId="0" fillId="3" borderId="2" xfId="0" applyNumberFormat="1" applyFont="1" applyFill="1" applyBorder="1" applyProtection="1">
      <protection locked="0"/>
    </xf>
    <xf numFmtId="2" fontId="0" fillId="3" borderId="2" xfId="0" applyNumberFormat="1" applyFont="1" applyFill="1" applyBorder="1" applyProtection="1">
      <protection locked="0"/>
    </xf>
    <xf numFmtId="0" fontId="26" fillId="3" borderId="24" xfId="0" applyNumberFormat="1" applyFont="1" applyFill="1" applyBorder="1" applyProtection="1">
      <protection locked="0"/>
    </xf>
    <xf numFmtId="0" fontId="0" fillId="3" borderId="24" xfId="0" applyNumberFormat="1" applyFont="1" applyFill="1" applyBorder="1" applyProtection="1">
      <protection locked="0"/>
    </xf>
    <xf numFmtId="0" fontId="26" fillId="2" borderId="26" xfId="0" applyFont="1" applyFill="1" applyBorder="1" applyProtection="1">
      <protection locked="0"/>
    </xf>
    <xf numFmtId="0" fontId="3" fillId="2" borderId="25" xfId="0" applyFont="1" applyFill="1" applyBorder="1" applyProtection="1">
      <protection locked="0"/>
    </xf>
    <xf numFmtId="2" fontId="22" fillId="0" borderId="0" xfId="0" applyNumberFormat="1" applyFont="1" applyAlignment="1" applyProtection="1">
      <alignment horizontal="left"/>
      <protection locked="0"/>
    </xf>
    <xf numFmtId="0" fontId="26" fillId="4" borderId="26" xfId="0" applyFont="1" applyFill="1" applyBorder="1" applyProtection="1">
      <protection locked="0"/>
    </xf>
    <xf numFmtId="0" fontId="0" fillId="4" borderId="28" xfId="0" applyFont="1" applyFill="1" applyBorder="1" applyProtection="1">
      <protection locked="0"/>
    </xf>
    <xf numFmtId="0" fontId="0" fillId="0" borderId="28" xfId="0" applyFont="1" applyBorder="1" applyProtection="1">
      <protection locked="0"/>
    </xf>
    <xf numFmtId="0" fontId="0" fillId="4" borderId="41" xfId="0" applyFont="1" applyFill="1" applyBorder="1" applyProtection="1">
      <protection locked="0"/>
    </xf>
    <xf numFmtId="0" fontId="0" fillId="2" borderId="28" xfId="0" applyFont="1" applyFill="1" applyBorder="1" applyProtection="1">
      <protection locked="0"/>
    </xf>
    <xf numFmtId="0" fontId="0" fillId="4" borderId="19" xfId="0" applyFont="1" applyFill="1" applyBorder="1" applyAlignment="1" applyProtection="1">
      <alignment vertical="top"/>
      <protection locked="0"/>
    </xf>
    <xf numFmtId="0" fontId="0" fillId="4" borderId="19" xfId="0" applyFont="1" applyFill="1" applyBorder="1" applyAlignment="1" applyProtection="1">
      <alignment vertical="top" wrapText="1"/>
      <protection locked="0"/>
    </xf>
    <xf numFmtId="0" fontId="3" fillId="4" borderId="19" xfId="0" applyFont="1" applyFill="1" applyBorder="1" applyAlignment="1" applyProtection="1">
      <alignment horizontal="right" vertical="top" wrapText="1"/>
      <protection locked="0"/>
    </xf>
    <xf numFmtId="167" fontId="15" fillId="4" borderId="19" xfId="3" applyNumberFormat="1" applyFont="1" applyFill="1" applyBorder="1" applyAlignment="1" applyProtection="1">
      <alignment horizontal="center" vertical="top" wrapText="1"/>
      <protection locked="0"/>
    </xf>
    <xf numFmtId="167" fontId="14" fillId="4" borderId="19" xfId="3" applyNumberFormat="1" applyFont="1" applyFill="1" applyBorder="1" applyAlignment="1" applyProtection="1">
      <alignment horizontal="center" vertical="top" wrapText="1"/>
      <protection locked="0"/>
    </xf>
    <xf numFmtId="0" fontId="26" fillId="3" borderId="2" xfId="0" applyNumberFormat="1" applyFont="1" applyFill="1" applyBorder="1" applyProtection="1">
      <protection locked="0"/>
    </xf>
    <xf numFmtId="0" fontId="0" fillId="3" borderId="2" xfId="0" applyNumberFormat="1" applyFont="1" applyFill="1" applyBorder="1" applyProtection="1">
      <protection locked="0"/>
    </xf>
    <xf numFmtId="0" fontId="7" fillId="0" borderId="0" xfId="0" applyFont="1" applyProtection="1">
      <protection locked="0"/>
    </xf>
    <xf numFmtId="0" fontId="7" fillId="3" borderId="2" xfId="0" quotePrefix="1" applyNumberFormat="1" applyFont="1" applyFill="1" applyBorder="1" applyProtection="1">
      <protection locked="0"/>
    </xf>
    <xf numFmtId="0" fontId="7" fillId="3" borderId="2" xfId="0" applyNumberFormat="1" applyFont="1" applyFill="1" applyBorder="1" applyProtection="1">
      <protection locked="0"/>
    </xf>
    <xf numFmtId="2" fontId="7" fillId="3" borderId="2" xfId="0" applyNumberFormat="1" applyFont="1" applyFill="1" applyBorder="1" applyProtection="1">
      <protection locked="0"/>
    </xf>
    <xf numFmtId="0" fontId="14" fillId="3" borderId="24" xfId="0" applyNumberFormat="1" applyFont="1" applyFill="1" applyBorder="1" applyProtection="1">
      <protection locked="0"/>
    </xf>
    <xf numFmtId="0" fontId="7" fillId="3" borderId="24" xfId="0" applyNumberFormat="1" applyFont="1" applyFill="1" applyBorder="1" applyProtection="1">
      <protection locked="0"/>
    </xf>
    <xf numFmtId="2" fontId="7" fillId="3" borderId="24" xfId="0" applyNumberFormat="1" applyFont="1" applyFill="1" applyBorder="1" applyProtection="1">
      <protection locked="0"/>
    </xf>
    <xf numFmtId="0" fontId="21" fillId="2" borderId="20" xfId="0" applyFont="1" applyFill="1" applyBorder="1" applyProtection="1">
      <protection locked="0"/>
    </xf>
    <xf numFmtId="0" fontId="14" fillId="2" borderId="19" xfId="0" applyFont="1" applyFill="1" applyBorder="1" applyProtection="1">
      <protection locked="0"/>
    </xf>
    <xf numFmtId="0" fontId="19" fillId="0" borderId="0" xfId="0" applyFont="1" applyAlignment="1" applyProtection="1">
      <alignment horizontal="right"/>
      <protection locked="0"/>
    </xf>
    <xf numFmtId="0" fontId="21" fillId="4" borderId="26" xfId="0" applyFont="1" applyFill="1" applyBorder="1" applyProtection="1">
      <protection locked="0"/>
    </xf>
    <xf numFmtId="0" fontId="7" fillId="4" borderId="28" xfId="0" applyFont="1" applyFill="1" applyBorder="1" applyProtection="1">
      <protection locked="0"/>
    </xf>
    <xf numFmtId="0" fontId="7" fillId="0" borderId="28" xfId="0" applyFont="1" applyBorder="1" applyProtection="1">
      <protection locked="0"/>
    </xf>
    <xf numFmtId="0" fontId="7" fillId="4" borderId="41" xfId="0" applyFont="1" applyFill="1" applyBorder="1" applyProtection="1">
      <protection locked="0"/>
    </xf>
    <xf numFmtId="0" fontId="7" fillId="4" borderId="19" xfId="0" applyFont="1" applyFill="1" applyBorder="1" applyAlignment="1" applyProtection="1">
      <alignment vertical="top"/>
      <protection locked="0"/>
    </xf>
    <xf numFmtId="0" fontId="7" fillId="4" borderId="19" xfId="0" applyFont="1" applyFill="1" applyBorder="1" applyAlignment="1" applyProtection="1">
      <alignment vertical="top" wrapText="1"/>
      <protection locked="0"/>
    </xf>
    <xf numFmtId="0" fontId="14" fillId="4" borderId="19" xfId="0" applyFont="1" applyFill="1" applyBorder="1" applyAlignment="1" applyProtection="1">
      <alignment horizontal="right" vertical="top" wrapText="1"/>
      <protection locked="0"/>
    </xf>
    <xf numFmtId="49" fontId="7" fillId="3" borderId="2" xfId="0" quotePrefix="1" applyNumberFormat="1" applyFont="1" applyFill="1" applyBorder="1" applyAlignment="1" applyProtection="1">
      <protection locked="0"/>
    </xf>
    <xf numFmtId="49" fontId="7" fillId="3" borderId="2" xfId="0" applyNumberFormat="1" applyFont="1" applyFill="1" applyBorder="1" applyProtection="1">
      <protection locked="0"/>
    </xf>
    <xf numFmtId="0" fontId="7" fillId="3" borderId="2" xfId="0" quotePrefix="1" applyNumberFormat="1" applyFont="1" applyFill="1" applyBorder="1" applyAlignment="1" applyProtection="1">
      <protection locked="0"/>
    </xf>
    <xf numFmtId="0" fontId="21" fillId="3" borderId="2" xfId="0" applyNumberFormat="1" applyFont="1" applyFill="1" applyBorder="1" applyProtection="1">
      <protection locked="0"/>
    </xf>
    <xf numFmtId="0" fontId="21" fillId="2" borderId="26" xfId="0" applyFont="1" applyFill="1" applyBorder="1" applyProtection="1">
      <protection locked="0"/>
    </xf>
    <xf numFmtId="0" fontId="14" fillId="2" borderId="25" xfId="0" applyFont="1" applyFill="1" applyBorder="1" applyProtection="1">
      <protection locked="0"/>
    </xf>
    <xf numFmtId="17" fontId="13" fillId="2" borderId="20" xfId="0" applyNumberFormat="1" applyFont="1" applyFill="1" applyBorder="1" applyProtection="1">
      <protection locked="0"/>
    </xf>
    <xf numFmtId="0" fontId="7" fillId="2" borderId="10" xfId="0" applyFont="1" applyFill="1" applyBorder="1" applyProtection="1">
      <protection locked="0"/>
    </xf>
    <xf numFmtId="0" fontId="7" fillId="2" borderId="19" xfId="0" applyFont="1" applyFill="1" applyBorder="1" applyProtection="1">
      <protection locked="0"/>
    </xf>
    <xf numFmtId="0" fontId="14" fillId="2" borderId="19" xfId="0" applyFont="1" applyFill="1" applyBorder="1" applyAlignment="1" applyProtection="1">
      <alignment horizontal="right"/>
      <protection locked="0"/>
    </xf>
    <xf numFmtId="0" fontId="7" fillId="4" borderId="33" xfId="0" applyFont="1" applyFill="1" applyBorder="1" applyProtection="1">
      <protection locked="0"/>
    </xf>
    <xf numFmtId="0" fontId="7" fillId="4" borderId="29" xfId="0" applyFont="1" applyFill="1" applyBorder="1" applyProtection="1">
      <protection locked="0"/>
    </xf>
    <xf numFmtId="2" fontId="7" fillId="4" borderId="5" xfId="0" applyNumberFormat="1" applyFont="1" applyFill="1" applyBorder="1" applyProtection="1">
      <protection locked="0"/>
    </xf>
    <xf numFmtId="10" fontId="7" fillId="4" borderId="5" xfId="2" applyNumberFormat="1" applyFont="1" applyFill="1" applyBorder="1" applyProtection="1">
      <protection locked="0"/>
    </xf>
    <xf numFmtId="10" fontId="7" fillId="4" borderId="5" xfId="0" applyNumberFormat="1" applyFont="1" applyFill="1" applyBorder="1" applyProtection="1">
      <protection locked="0"/>
    </xf>
    <xf numFmtId="164" fontId="14" fillId="4" borderId="8" xfId="0" applyNumberFormat="1" applyFont="1" applyFill="1" applyBorder="1" applyProtection="1">
      <protection locked="0"/>
    </xf>
    <xf numFmtId="0" fontId="7" fillId="4" borderId="5" xfId="0" applyFont="1" applyFill="1" applyBorder="1" applyProtection="1">
      <protection locked="0"/>
    </xf>
    <xf numFmtId="2" fontId="28" fillId="0" borderId="0" xfId="0" applyNumberFormat="1" applyFont="1" applyAlignment="1" applyProtection="1">
      <alignment horizontal="left"/>
      <protection locked="0"/>
    </xf>
    <xf numFmtId="0" fontId="13" fillId="2" borderId="33" xfId="0" applyFont="1" applyFill="1" applyBorder="1" applyProtection="1">
      <protection locked="0"/>
    </xf>
    <xf numFmtId="0" fontId="14" fillId="2" borderId="29" xfId="0" applyFont="1" applyFill="1" applyBorder="1" applyProtection="1">
      <protection locked="0"/>
    </xf>
    <xf numFmtId="2" fontId="14" fillId="2" borderId="30" xfId="0" applyNumberFormat="1" applyFont="1" applyFill="1" applyBorder="1" applyProtection="1">
      <protection locked="0"/>
    </xf>
    <xf numFmtId="0" fontId="14" fillId="2" borderId="30" xfId="0" applyFont="1" applyFill="1" applyBorder="1" applyAlignment="1" applyProtection="1">
      <alignment horizontal="right"/>
      <protection locked="0"/>
    </xf>
    <xf numFmtId="0" fontId="7" fillId="2" borderId="0" xfId="0" applyFont="1" applyFill="1" applyBorder="1" applyProtection="1">
      <protection locked="0"/>
    </xf>
    <xf numFmtId="0" fontId="13" fillId="2" borderId="0" xfId="0" applyFont="1" applyFill="1" applyBorder="1" applyAlignment="1" applyProtection="1">
      <alignment horizontal="right"/>
      <protection locked="0"/>
    </xf>
    <xf numFmtId="0" fontId="7" fillId="2" borderId="5" xfId="0" applyFont="1" applyFill="1" applyBorder="1" applyProtection="1">
      <protection locked="0"/>
    </xf>
    <xf numFmtId="0" fontId="14" fillId="2" borderId="7" xfId="0" applyFont="1" applyFill="1" applyBorder="1" applyProtection="1">
      <protection locked="0"/>
    </xf>
    <xf numFmtId="0" fontId="7" fillId="2" borderId="1" xfId="0" applyFont="1" applyFill="1" applyBorder="1" applyProtection="1">
      <protection locked="0"/>
    </xf>
    <xf numFmtId="0" fontId="13" fillId="2" borderId="17" xfId="0" applyFont="1" applyFill="1" applyBorder="1" applyAlignment="1" applyProtection="1">
      <alignment horizontal="right"/>
      <protection locked="0"/>
    </xf>
    <xf numFmtId="2" fontId="14" fillId="2" borderId="8" xfId="0" applyNumberFormat="1" applyFont="1" applyFill="1" applyBorder="1" applyProtection="1">
      <protection locked="0"/>
    </xf>
    <xf numFmtId="0" fontId="7" fillId="2" borderId="8" xfId="0" applyFont="1" applyFill="1" applyBorder="1" applyProtection="1">
      <protection locked="0"/>
    </xf>
    <xf numFmtId="0" fontId="14" fillId="2" borderId="0" xfId="0" applyFont="1" applyFill="1" applyBorder="1" applyProtection="1">
      <protection locked="0"/>
    </xf>
    <xf numFmtId="0" fontId="14" fillId="2" borderId="78" xfId="0" applyFont="1" applyFill="1" applyBorder="1" applyProtection="1">
      <protection locked="0"/>
    </xf>
    <xf numFmtId="0" fontId="14" fillId="2" borderId="6" xfId="0" applyFont="1" applyFill="1" applyBorder="1" applyProtection="1">
      <protection locked="0"/>
    </xf>
    <xf numFmtId="0" fontId="13" fillId="2" borderId="1" xfId="0" applyFont="1" applyFill="1" applyBorder="1" applyAlignment="1" applyProtection="1">
      <alignment horizontal="right"/>
      <protection locked="0"/>
    </xf>
    <xf numFmtId="0" fontId="14" fillId="2" borderId="1" xfId="0" applyFont="1" applyFill="1" applyBorder="1" applyProtection="1">
      <protection locked="0"/>
    </xf>
    <xf numFmtId="10" fontId="7" fillId="2" borderId="8" xfId="0" applyNumberFormat="1" applyFont="1" applyFill="1" applyBorder="1" applyProtection="1">
      <protection locked="0"/>
    </xf>
    <xf numFmtId="0" fontId="7" fillId="4" borderId="17" xfId="0" applyFont="1" applyFill="1" applyBorder="1" applyProtection="1">
      <protection locked="0"/>
    </xf>
    <xf numFmtId="0" fontId="7" fillId="4" borderId="0" xfId="0" applyFont="1" applyFill="1" applyProtection="1">
      <protection locked="0"/>
    </xf>
    <xf numFmtId="0" fontId="43" fillId="4" borderId="3" xfId="0" applyFont="1" applyFill="1" applyBorder="1" applyProtection="1">
      <protection locked="0"/>
    </xf>
    <xf numFmtId="0" fontId="35" fillId="4" borderId="4" xfId="0" applyFont="1" applyFill="1" applyBorder="1" applyProtection="1">
      <protection locked="0"/>
    </xf>
    <xf numFmtId="0" fontId="35" fillId="4" borderId="18" xfId="0" applyFont="1" applyFill="1" applyBorder="1" applyProtection="1">
      <protection locked="0"/>
    </xf>
    <xf numFmtId="0" fontId="35" fillId="0" borderId="0" xfId="0" applyFont="1" applyProtection="1">
      <protection locked="0"/>
    </xf>
    <xf numFmtId="0" fontId="35" fillId="4" borderId="6" xfId="0" applyFont="1" applyFill="1" applyBorder="1" applyProtection="1">
      <protection locked="0"/>
    </xf>
    <xf numFmtId="0" fontId="35" fillId="4" borderId="0" xfId="0" applyFont="1" applyFill="1" applyBorder="1" applyProtection="1">
      <protection locked="0"/>
    </xf>
    <xf numFmtId="0" fontId="35" fillId="4" borderId="11" xfId="0" applyFont="1" applyFill="1" applyBorder="1" applyProtection="1">
      <protection locked="0"/>
    </xf>
    <xf numFmtId="0" fontId="35" fillId="4" borderId="0" xfId="0" applyFont="1" applyFill="1" applyBorder="1" applyAlignment="1" applyProtection="1">
      <alignment horizontal="right" wrapText="1"/>
      <protection locked="0"/>
    </xf>
    <xf numFmtId="2" fontId="35" fillId="4" borderId="0" xfId="0" applyNumberFormat="1" applyFont="1" applyFill="1" applyBorder="1" applyAlignment="1" applyProtection="1">
      <alignment horizontal="right"/>
      <protection locked="0"/>
    </xf>
    <xf numFmtId="44" fontId="35" fillId="0" borderId="0" xfId="0" applyNumberFormat="1" applyFont="1" applyProtection="1">
      <protection locked="0"/>
    </xf>
    <xf numFmtId="0" fontId="35" fillId="4" borderId="7" xfId="0" applyFont="1" applyFill="1" applyBorder="1" applyProtection="1">
      <protection locked="0"/>
    </xf>
    <xf numFmtId="0" fontId="35" fillId="4" borderId="1" xfId="0" applyFont="1" applyFill="1" applyBorder="1" applyProtection="1">
      <protection locked="0"/>
    </xf>
    <xf numFmtId="10" fontId="35" fillId="4" borderId="0" xfId="0" applyNumberFormat="1" applyFont="1" applyFill="1" applyBorder="1" applyAlignment="1" applyProtection="1">
      <alignment horizontal="right"/>
      <protection locked="0"/>
    </xf>
    <xf numFmtId="0" fontId="35" fillId="4" borderId="0" xfId="0" applyFont="1" applyFill="1" applyBorder="1" applyAlignment="1" applyProtection="1">
      <alignment horizontal="right"/>
      <protection locked="0"/>
    </xf>
    <xf numFmtId="0" fontId="35" fillId="4" borderId="62" xfId="0" applyFont="1" applyFill="1" applyBorder="1" applyProtection="1">
      <protection locked="0"/>
    </xf>
    <xf numFmtId="0" fontId="35" fillId="4" borderId="63" xfId="0" applyFont="1" applyFill="1" applyBorder="1" applyProtection="1">
      <protection locked="0"/>
    </xf>
    <xf numFmtId="0" fontId="35" fillId="4" borderId="63" xfId="0" applyFont="1" applyFill="1" applyBorder="1" applyAlignment="1" applyProtection="1">
      <alignment horizontal="right"/>
      <protection locked="0"/>
    </xf>
    <xf numFmtId="0" fontId="35" fillId="4" borderId="1" xfId="0" applyFont="1" applyFill="1" applyBorder="1" applyAlignment="1" applyProtection="1">
      <alignment horizontal="right"/>
      <protection locked="0"/>
    </xf>
    <xf numFmtId="0" fontId="35" fillId="4" borderId="17" xfId="0" applyFont="1" applyFill="1" applyBorder="1" applyProtection="1">
      <protection locked="0"/>
    </xf>
    <xf numFmtId="9" fontId="3" fillId="2" borderId="19" xfId="0" applyNumberFormat="1" applyFont="1" applyFill="1" applyBorder="1" applyAlignment="1" applyProtection="1">
      <alignment horizontal="center"/>
    </xf>
    <xf numFmtId="9" fontId="15" fillId="2" borderId="19" xfId="0" applyNumberFormat="1" applyFont="1" applyFill="1" applyBorder="1" applyAlignment="1" applyProtection="1">
      <alignment horizontal="center"/>
    </xf>
    <xf numFmtId="2" fontId="3" fillId="2" borderId="25" xfId="0" applyNumberFormat="1" applyFont="1" applyFill="1" applyBorder="1" applyProtection="1"/>
    <xf numFmtId="2" fontId="15" fillId="2" borderId="25" xfId="0" applyNumberFormat="1" applyFont="1" applyFill="1" applyBorder="1" applyProtection="1"/>
    <xf numFmtId="2" fontId="22" fillId="0" borderId="0" xfId="0" applyNumberFormat="1" applyFont="1" applyAlignment="1" applyProtection="1">
      <alignment horizontal="left"/>
    </xf>
    <xf numFmtId="9" fontId="15" fillId="2" borderId="25" xfId="0" applyNumberFormat="1" applyFont="1" applyFill="1" applyBorder="1" applyAlignment="1" applyProtection="1">
      <alignment horizontal="center"/>
    </xf>
    <xf numFmtId="9" fontId="3" fillId="2" borderId="25" xfId="0" applyNumberFormat="1" applyFont="1" applyFill="1" applyBorder="1" applyAlignment="1" applyProtection="1">
      <alignment horizontal="center"/>
    </xf>
    <xf numFmtId="2" fontId="14" fillId="2" borderId="19" xfId="0" applyNumberFormat="1" applyFont="1" applyFill="1" applyBorder="1" applyProtection="1"/>
    <xf numFmtId="10" fontId="14" fillId="2" borderId="30" xfId="0" applyNumberFormat="1" applyFont="1" applyFill="1" applyBorder="1" applyProtection="1"/>
    <xf numFmtId="2" fontId="14" fillId="2" borderId="25" xfId="0" applyNumberFormat="1" applyFont="1" applyFill="1" applyBorder="1" applyProtection="1"/>
    <xf numFmtId="10" fontId="15" fillId="2" borderId="30" xfId="0" applyNumberFormat="1" applyFont="1" applyFill="1" applyBorder="1" applyProtection="1"/>
    <xf numFmtId="2" fontId="14" fillId="4" borderId="30" xfId="0" applyNumberFormat="1" applyFont="1" applyFill="1" applyBorder="1" applyProtection="1"/>
    <xf numFmtId="10" fontId="7" fillId="4" borderId="30" xfId="2" applyNumberFormat="1" applyFont="1" applyFill="1" applyBorder="1" applyProtection="1"/>
    <xf numFmtId="2" fontId="7" fillId="4" borderId="5" xfId="0" applyNumberFormat="1" applyFont="1" applyFill="1" applyBorder="1" applyProtection="1"/>
    <xf numFmtId="10" fontId="7" fillId="4" borderId="5" xfId="0" applyNumberFormat="1" applyFont="1" applyFill="1" applyBorder="1" applyProtection="1"/>
    <xf numFmtId="10" fontId="14" fillId="4" borderId="2" xfId="2" applyNumberFormat="1" applyFont="1" applyFill="1" applyBorder="1" applyProtection="1"/>
    <xf numFmtId="2" fontId="7" fillId="4" borderId="8" xfId="0" applyNumberFormat="1" applyFont="1" applyFill="1" applyBorder="1" applyProtection="1"/>
    <xf numFmtId="10" fontId="7" fillId="4" borderId="8" xfId="2" applyNumberFormat="1" applyFont="1" applyFill="1" applyBorder="1" applyProtection="1"/>
    <xf numFmtId="2" fontId="13" fillId="2" borderId="5" xfId="0" applyNumberFormat="1" applyFont="1" applyFill="1" applyBorder="1" applyProtection="1"/>
    <xf numFmtId="2" fontId="14" fillId="2" borderId="8" xfId="0" applyNumberFormat="1" applyFont="1" applyFill="1" applyBorder="1" applyProtection="1"/>
    <xf numFmtId="2" fontId="14" fillId="2" borderId="5" xfId="0" applyNumberFormat="1" applyFont="1" applyFill="1" applyBorder="1" applyProtection="1"/>
    <xf numFmtId="10" fontId="7" fillId="2" borderId="5" xfId="0" applyNumberFormat="1" applyFont="1" applyFill="1" applyBorder="1" applyProtection="1"/>
    <xf numFmtId="2" fontId="13" fillId="2" borderId="80" xfId="0" applyNumberFormat="1" applyFont="1" applyFill="1" applyBorder="1" applyProtection="1"/>
    <xf numFmtId="10" fontId="44" fillId="9" borderId="23" xfId="2" applyNumberFormat="1" applyFont="1" applyFill="1" applyBorder="1" applyProtection="1"/>
    <xf numFmtId="2" fontId="35" fillId="4" borderId="0" xfId="0" applyNumberFormat="1" applyFont="1" applyFill="1" applyBorder="1" applyAlignment="1" applyProtection="1">
      <alignment horizontal="right"/>
    </xf>
    <xf numFmtId="10" fontId="37" fillId="4" borderId="2" xfId="2" applyNumberFormat="1" applyFont="1" applyFill="1" applyBorder="1" applyAlignment="1" applyProtection="1">
      <alignment horizontal="right"/>
    </xf>
    <xf numFmtId="2" fontId="35" fillId="4" borderId="1" xfId="0" applyNumberFormat="1" applyFont="1" applyFill="1" applyBorder="1" applyAlignment="1" applyProtection="1">
      <alignment horizontal="right"/>
    </xf>
    <xf numFmtId="10" fontId="35" fillId="4" borderId="1" xfId="2" applyNumberFormat="1" applyFont="1" applyFill="1" applyBorder="1" applyAlignment="1" applyProtection="1">
      <alignment horizontal="right"/>
    </xf>
    <xf numFmtId="10" fontId="35" fillId="4" borderId="4" xfId="0" applyNumberFormat="1" applyFont="1" applyFill="1" applyBorder="1" applyAlignment="1" applyProtection="1">
      <alignment horizontal="right"/>
    </xf>
    <xf numFmtId="10" fontId="35" fillId="4" borderId="0" xfId="2" applyNumberFormat="1" applyFont="1" applyFill="1" applyBorder="1" applyAlignment="1" applyProtection="1">
      <alignment horizontal="right"/>
    </xf>
    <xf numFmtId="0" fontId="35" fillId="4" borderId="0" xfId="0" applyFont="1" applyFill="1" applyBorder="1" applyAlignment="1" applyProtection="1">
      <alignment horizontal="left"/>
    </xf>
    <xf numFmtId="2" fontId="50" fillId="0" borderId="0" xfId="0" applyNumberFormat="1" applyFont="1" applyAlignment="1" applyProtection="1">
      <alignment horizontal="left"/>
    </xf>
    <xf numFmtId="0" fontId="23" fillId="4" borderId="4" xfId="0" applyFont="1" applyFill="1" applyBorder="1" applyProtection="1">
      <protection locked="0"/>
    </xf>
    <xf numFmtId="0" fontId="23" fillId="4" borderId="0" xfId="0" applyFont="1" applyFill="1" applyBorder="1" applyProtection="1">
      <protection locked="0"/>
    </xf>
    <xf numFmtId="0" fontId="0" fillId="4" borderId="14" xfId="0" applyFont="1" applyFill="1" applyBorder="1" applyAlignment="1" applyProtection="1">
      <alignment horizontal="left"/>
      <protection locked="0"/>
    </xf>
    <xf numFmtId="0" fontId="3" fillId="0" borderId="0" xfId="0" applyFont="1" applyAlignment="1" applyProtection="1">
      <alignment horizontal="right"/>
      <protection locked="0"/>
    </xf>
    <xf numFmtId="0" fontId="25" fillId="4" borderId="6" xfId="0" applyFont="1" applyFill="1" applyBorder="1" applyProtection="1">
      <protection locked="0"/>
    </xf>
    <xf numFmtId="0" fontId="0" fillId="4" borderId="11" xfId="0" applyFont="1" applyFill="1" applyBorder="1" applyProtection="1">
      <protection locked="0"/>
    </xf>
    <xf numFmtId="0" fontId="18" fillId="2" borderId="14" xfId="0" applyFont="1" applyFill="1" applyBorder="1" applyProtection="1">
      <protection locked="0"/>
    </xf>
    <xf numFmtId="0" fontId="0" fillId="2" borderId="15" xfId="0" applyFont="1" applyFill="1" applyBorder="1" applyProtection="1">
      <protection locked="0"/>
    </xf>
    <xf numFmtId="0" fontId="23" fillId="2" borderId="15" xfId="0" applyFont="1" applyFill="1" applyBorder="1" applyProtection="1">
      <protection locked="0"/>
    </xf>
    <xf numFmtId="0" fontId="23" fillId="2" borderId="16" xfId="0" applyFont="1" applyFill="1" applyBorder="1" applyProtection="1">
      <protection locked="0"/>
    </xf>
    <xf numFmtId="0" fontId="4" fillId="0" borderId="0" xfId="0" applyFont="1" applyAlignment="1" applyProtection="1">
      <alignment horizontal="right"/>
      <protection locked="0"/>
    </xf>
    <xf numFmtId="0" fontId="21" fillId="4" borderId="0" xfId="0" applyFont="1" applyFill="1" applyBorder="1" applyProtection="1">
      <protection locked="0"/>
    </xf>
    <xf numFmtId="0" fontId="24" fillId="4" borderId="0" xfId="0" applyFont="1" applyFill="1" applyBorder="1" applyProtection="1">
      <protection locked="0"/>
    </xf>
    <xf numFmtId="0" fontId="14" fillId="2" borderId="14" xfId="0" applyFont="1" applyFill="1" applyBorder="1" applyAlignment="1" applyProtection="1">
      <alignment horizontal="left"/>
      <protection locked="0"/>
    </xf>
    <xf numFmtId="0" fontId="14" fillId="2" borderId="15" xfId="0" applyFont="1" applyFill="1" applyBorder="1" applyProtection="1">
      <protection locked="0"/>
    </xf>
    <xf numFmtId="165" fontId="14" fillId="2" borderId="2" xfId="0" applyNumberFormat="1" applyFont="1" applyFill="1" applyBorder="1" applyProtection="1">
      <protection locked="0"/>
    </xf>
    <xf numFmtId="44" fontId="0" fillId="3" borderId="2" xfId="1" applyFont="1" applyFill="1" applyBorder="1" applyProtection="1">
      <protection locked="0"/>
    </xf>
    <xf numFmtId="0" fontId="22" fillId="4" borderId="11" xfId="0" applyFont="1" applyFill="1" applyBorder="1" applyProtection="1">
      <protection locked="0"/>
    </xf>
    <xf numFmtId="0" fontId="7" fillId="4" borderId="6" xfId="0" applyFont="1" applyFill="1" applyBorder="1" applyAlignment="1" applyProtection="1">
      <alignment horizontal="left"/>
      <protection locked="0"/>
    </xf>
    <xf numFmtId="0" fontId="7" fillId="4" borderId="0" xfId="0" applyFont="1" applyFill="1" applyBorder="1" applyAlignment="1" applyProtection="1">
      <alignment horizontal="left"/>
      <protection locked="0"/>
    </xf>
    <xf numFmtId="0" fontId="35" fillId="4" borderId="0" xfId="0" applyFont="1" applyFill="1" applyBorder="1" applyAlignment="1" applyProtection="1">
      <alignment horizontal="left" indent="1"/>
      <protection locked="0"/>
    </xf>
    <xf numFmtId="44" fontId="0" fillId="0" borderId="34" xfId="1" applyFont="1" applyFill="1" applyBorder="1" applyProtection="1">
      <protection locked="0"/>
    </xf>
    <xf numFmtId="165" fontId="22" fillId="0" borderId="0" xfId="0" applyNumberFormat="1" applyFont="1" applyProtection="1">
      <protection locked="0"/>
    </xf>
    <xf numFmtId="44" fontId="0" fillId="3" borderId="13" xfId="1" applyFont="1" applyFill="1" applyBorder="1" applyProtection="1">
      <protection locked="0"/>
    </xf>
    <xf numFmtId="0" fontId="21" fillId="2" borderId="14" xfId="0" applyFont="1" applyFill="1" applyBorder="1" applyAlignment="1" applyProtection="1">
      <alignment horizontal="left"/>
      <protection locked="0"/>
    </xf>
    <xf numFmtId="0" fontId="21" fillId="2" borderId="15" xfId="0" applyFont="1" applyFill="1" applyBorder="1" applyProtection="1">
      <protection locked="0"/>
    </xf>
    <xf numFmtId="0" fontId="24" fillId="2" borderId="15" xfId="0" applyFont="1" applyFill="1" applyBorder="1" applyProtection="1">
      <protection locked="0"/>
    </xf>
    <xf numFmtId="44" fontId="14" fillId="2" borderId="2" xfId="1" applyFont="1" applyFill="1" applyBorder="1" applyProtection="1">
      <protection locked="0"/>
    </xf>
    <xf numFmtId="44" fontId="22" fillId="0" borderId="0" xfId="1" applyFont="1" applyAlignment="1" applyProtection="1">
      <alignment horizontal="left"/>
      <protection locked="0"/>
    </xf>
    <xf numFmtId="0" fontId="21" fillId="4" borderId="6" xfId="0" applyFont="1" applyFill="1" applyBorder="1" applyAlignment="1" applyProtection="1">
      <alignment horizontal="left"/>
      <protection locked="0"/>
    </xf>
    <xf numFmtId="44" fontId="24" fillId="4" borderId="5" xfId="1" applyFont="1" applyFill="1" applyBorder="1" applyProtection="1">
      <protection locked="0"/>
    </xf>
    <xf numFmtId="44" fontId="24" fillId="2" borderId="2" xfId="1" applyFont="1" applyFill="1" applyBorder="1" applyProtection="1">
      <protection locked="0"/>
    </xf>
    <xf numFmtId="10" fontId="35" fillId="4" borderId="2" xfId="0" applyNumberFormat="1" applyFont="1" applyFill="1" applyBorder="1" applyProtection="1">
      <protection locked="0"/>
    </xf>
    <xf numFmtId="44" fontId="0" fillId="4" borderId="5" xfId="1" applyFont="1" applyFill="1" applyBorder="1" applyProtection="1">
      <protection locked="0"/>
    </xf>
    <xf numFmtId="44" fontId="0" fillId="4" borderId="2" xfId="1" applyFont="1" applyFill="1" applyBorder="1" applyProtection="1">
      <protection locked="0"/>
    </xf>
    <xf numFmtId="0" fontId="6" fillId="4" borderId="0" xfId="0" applyFont="1" applyFill="1" applyBorder="1" applyProtection="1">
      <protection locked="0"/>
    </xf>
    <xf numFmtId="0" fontId="21" fillId="4" borderId="7" xfId="0" applyFont="1" applyFill="1" applyBorder="1" applyAlignment="1" applyProtection="1">
      <alignment horizontal="left"/>
      <protection locked="0"/>
    </xf>
    <xf numFmtId="0" fontId="21" fillId="4" borderId="1" xfId="0" applyFont="1" applyFill="1" applyBorder="1" applyProtection="1">
      <protection locked="0"/>
    </xf>
    <xf numFmtId="0" fontId="24" fillId="4" borderId="1" xfId="0" applyFont="1" applyFill="1" applyBorder="1" applyProtection="1">
      <protection locked="0"/>
    </xf>
    <xf numFmtId="44" fontId="24" fillId="4" borderId="8" xfId="1" applyFont="1" applyFill="1" applyBorder="1" applyProtection="1">
      <protection locked="0"/>
    </xf>
    <xf numFmtId="44" fontId="1" fillId="4" borderId="2" xfId="1" applyFont="1" applyFill="1" applyBorder="1" applyProtection="1">
      <protection locked="0"/>
    </xf>
    <xf numFmtId="44" fontId="22" fillId="4" borderId="11" xfId="1" applyFont="1" applyFill="1" applyBorder="1" applyAlignment="1" applyProtection="1">
      <alignment horizontal="left"/>
      <protection locked="0"/>
    </xf>
    <xf numFmtId="165" fontId="22" fillId="4" borderId="11" xfId="0" applyNumberFormat="1" applyFont="1" applyFill="1" applyBorder="1" applyProtection="1">
      <protection locked="0"/>
    </xf>
    <xf numFmtId="44" fontId="22" fillId="0" borderId="0" xfId="0" applyNumberFormat="1" applyFont="1" applyProtection="1">
      <protection locked="0"/>
    </xf>
    <xf numFmtId="0" fontId="0" fillId="0" borderId="6" xfId="0" applyFont="1" applyBorder="1" applyAlignment="1" applyProtection="1">
      <alignment horizontal="left"/>
      <protection locked="0"/>
    </xf>
    <xf numFmtId="0" fontId="23" fillId="0" borderId="0" xfId="0" applyFont="1" applyBorder="1" applyProtection="1">
      <protection locked="0"/>
    </xf>
    <xf numFmtId="44" fontId="23" fillId="0" borderId="11" xfId="1" applyFont="1" applyBorder="1" applyProtection="1">
      <protection locked="0"/>
    </xf>
    <xf numFmtId="0" fontId="21" fillId="2" borderId="14" xfId="0" applyFont="1" applyFill="1" applyBorder="1" applyProtection="1">
      <protection locked="0"/>
    </xf>
    <xf numFmtId="165" fontId="24" fillId="2" borderId="2" xfId="0" applyNumberFormat="1" applyFont="1" applyFill="1" applyBorder="1" applyProtection="1">
      <protection locked="0"/>
    </xf>
    <xf numFmtId="0" fontId="29" fillId="4" borderId="11" xfId="0" applyFont="1" applyFill="1" applyBorder="1" applyProtection="1">
      <protection locked="0"/>
    </xf>
    <xf numFmtId="0" fontId="29" fillId="0" borderId="0" xfId="0" applyFont="1" applyProtection="1">
      <protection locked="0"/>
    </xf>
    <xf numFmtId="165" fontId="29" fillId="4" borderId="11" xfId="0" applyNumberFormat="1" applyFont="1" applyFill="1" applyBorder="1" applyProtection="1">
      <protection locked="0"/>
    </xf>
    <xf numFmtId="0" fontId="30" fillId="2" borderId="14" xfId="0" applyFont="1" applyFill="1" applyBorder="1" applyAlignment="1" applyProtection="1">
      <alignment horizontal="left"/>
      <protection locked="0"/>
    </xf>
    <xf numFmtId="44" fontId="24" fillId="2" borderId="16" xfId="1" applyFont="1" applyFill="1" applyBorder="1" applyProtection="1">
      <protection locked="0"/>
    </xf>
    <xf numFmtId="0" fontId="28" fillId="4" borderId="6" xfId="0" applyFont="1" applyFill="1" applyBorder="1" applyProtection="1">
      <protection locked="0"/>
    </xf>
    <xf numFmtId="44" fontId="23" fillId="4" borderId="11" xfId="1" applyFont="1" applyFill="1" applyBorder="1" applyProtection="1">
      <protection locked="0"/>
    </xf>
    <xf numFmtId="0" fontId="19" fillId="4" borderId="6" xfId="0" applyFont="1" applyFill="1" applyBorder="1" applyProtection="1">
      <protection locked="0"/>
    </xf>
    <xf numFmtId="0" fontId="7" fillId="4" borderId="2" xfId="0" applyFont="1" applyFill="1" applyBorder="1" applyProtection="1">
      <protection locked="0"/>
    </xf>
    <xf numFmtId="0" fontId="0" fillId="4" borderId="2" xfId="0" applyFont="1" applyFill="1" applyBorder="1" applyProtection="1">
      <protection locked="0"/>
    </xf>
    <xf numFmtId="0" fontId="0" fillId="2" borderId="2" xfId="0" applyFont="1" applyFill="1" applyBorder="1" applyProtection="1">
      <protection locked="0"/>
    </xf>
    <xf numFmtId="44" fontId="23" fillId="4" borderId="0" xfId="1" applyFont="1" applyFill="1" applyBorder="1" applyProtection="1">
      <protection locked="0"/>
    </xf>
    <xf numFmtId="0" fontId="17" fillId="4" borderId="14" xfId="0" applyFont="1" applyFill="1" applyBorder="1" applyProtection="1">
      <protection locked="0"/>
    </xf>
    <xf numFmtId="0" fontId="23" fillId="4" borderId="16" xfId="0" applyFont="1" applyFill="1" applyBorder="1" applyProtection="1">
      <protection locked="0"/>
    </xf>
    <xf numFmtId="0" fontId="17" fillId="4" borderId="2" xfId="0" applyFont="1" applyFill="1" applyBorder="1" applyAlignment="1" applyProtection="1">
      <alignment horizontal="right"/>
      <protection locked="0"/>
    </xf>
    <xf numFmtId="0" fontId="23" fillId="4" borderId="17" xfId="0" applyFont="1" applyFill="1" applyBorder="1" applyProtection="1">
      <protection locked="0"/>
    </xf>
    <xf numFmtId="0" fontId="17" fillId="3" borderId="14" xfId="0" applyFont="1" applyFill="1" applyBorder="1" applyProtection="1">
      <protection locked="0"/>
    </xf>
    <xf numFmtId="0" fontId="17" fillId="4" borderId="15" xfId="0" applyFont="1" applyFill="1" applyBorder="1" applyProtection="1">
      <protection locked="0"/>
    </xf>
    <xf numFmtId="10" fontId="23" fillId="4" borderId="15" xfId="0" applyNumberFormat="1" applyFont="1" applyFill="1" applyBorder="1" applyProtection="1">
      <protection locked="0"/>
    </xf>
    <xf numFmtId="44" fontId="23" fillId="3" borderId="2" xfId="1" applyFont="1" applyFill="1" applyBorder="1" applyProtection="1">
      <protection locked="0"/>
    </xf>
    <xf numFmtId="0" fontId="23" fillId="4" borderId="15" xfId="0" applyFont="1" applyFill="1" applyBorder="1" applyProtection="1">
      <protection locked="0"/>
    </xf>
    <xf numFmtId="165" fontId="24" fillId="2" borderId="16" xfId="0" applyNumberFormat="1" applyFont="1" applyFill="1" applyBorder="1" applyProtection="1">
      <protection locked="0"/>
    </xf>
    <xf numFmtId="0" fontId="14" fillId="4" borderId="6" xfId="0" applyFont="1" applyFill="1" applyBorder="1" applyProtection="1">
      <protection locked="0"/>
    </xf>
    <xf numFmtId="0" fontId="17" fillId="4" borderId="0" xfId="0" applyFont="1" applyFill="1" applyBorder="1" applyProtection="1">
      <protection locked="0"/>
    </xf>
    <xf numFmtId="0" fontId="24" fillId="4" borderId="11" xfId="0" applyFont="1" applyFill="1" applyBorder="1" applyAlignment="1" applyProtection="1">
      <alignment horizontal="center"/>
      <protection locked="0"/>
    </xf>
    <xf numFmtId="0" fontId="20" fillId="4" borderId="11" xfId="0" applyFont="1" applyFill="1" applyBorder="1" applyProtection="1">
      <protection locked="0"/>
    </xf>
    <xf numFmtId="0" fontId="7" fillId="3" borderId="2" xfId="0" applyFont="1" applyFill="1" applyBorder="1" applyProtection="1">
      <protection locked="0"/>
    </xf>
    <xf numFmtId="44" fontId="0" fillId="3" borderId="14" xfId="1" applyFont="1" applyFill="1" applyBorder="1" applyProtection="1">
      <protection locked="0"/>
    </xf>
    <xf numFmtId="10" fontId="23" fillId="4" borderId="6" xfId="0" applyNumberFormat="1" applyFont="1" applyFill="1" applyBorder="1" applyProtection="1">
      <protection locked="0"/>
    </xf>
    <xf numFmtId="165" fontId="23" fillId="4" borderId="11" xfId="0" applyNumberFormat="1" applyFont="1" applyFill="1" applyBorder="1" applyProtection="1">
      <protection locked="0"/>
    </xf>
    <xf numFmtId="44" fontId="0" fillId="4" borderId="11" xfId="0" applyNumberFormat="1" applyFont="1" applyFill="1" applyBorder="1" applyProtection="1">
      <protection locked="0"/>
    </xf>
    <xf numFmtId="0" fontId="23" fillId="4" borderId="6" xfId="0" applyFont="1" applyFill="1" applyBorder="1" applyProtection="1">
      <protection locked="0"/>
    </xf>
    <xf numFmtId="0" fontId="14" fillId="2" borderId="14" xfId="0" applyFont="1" applyFill="1" applyBorder="1" applyProtection="1">
      <protection locked="0"/>
    </xf>
    <xf numFmtId="44" fontId="0" fillId="4" borderId="0" xfId="1" applyFont="1" applyFill="1" applyBorder="1" applyProtection="1">
      <protection locked="0"/>
    </xf>
    <xf numFmtId="0" fontId="23" fillId="4" borderId="11" xfId="0" applyFont="1" applyFill="1" applyBorder="1" applyProtection="1">
      <protection locked="0"/>
    </xf>
    <xf numFmtId="0" fontId="17" fillId="4" borderId="0" xfId="0" applyFont="1" applyFill="1" applyBorder="1" applyAlignment="1" applyProtection="1">
      <alignment horizontal="right"/>
      <protection locked="0"/>
    </xf>
    <xf numFmtId="0" fontId="7" fillId="3" borderId="14" xfId="0" applyFont="1" applyFill="1" applyBorder="1" applyProtection="1">
      <protection locked="0"/>
    </xf>
    <xf numFmtId="10" fontId="23" fillId="3" borderId="2" xfId="0" applyNumberFormat="1" applyFont="1" applyFill="1" applyBorder="1" applyProtection="1">
      <protection locked="0"/>
    </xf>
    <xf numFmtId="44" fontId="23" fillId="0" borderId="2" xfId="1" applyFont="1" applyFill="1" applyBorder="1" applyProtection="1">
      <protection locked="0"/>
    </xf>
    <xf numFmtId="0" fontId="7" fillId="0" borderId="14" xfId="0" applyFont="1" applyBorder="1" applyProtection="1">
      <protection locked="0"/>
    </xf>
    <xf numFmtId="0" fontId="7" fillId="0" borderId="2" xfId="0" applyFont="1" applyBorder="1" applyProtection="1">
      <protection locked="0"/>
    </xf>
    <xf numFmtId="44" fontId="23" fillId="2" borderId="2" xfId="1" applyFont="1" applyFill="1" applyBorder="1" applyProtection="1">
      <protection locked="0"/>
    </xf>
    <xf numFmtId="44" fontId="24" fillId="4" borderId="11" xfId="1" applyFont="1" applyFill="1" applyBorder="1" applyAlignment="1" applyProtection="1">
      <alignment horizontal="center"/>
      <protection locked="0"/>
    </xf>
    <xf numFmtId="0" fontId="7" fillId="0" borderId="14" xfId="0" applyFont="1" applyFill="1" applyBorder="1" applyProtection="1">
      <protection locked="0"/>
    </xf>
    <xf numFmtId="10" fontId="1" fillId="2" borderId="2" xfId="0" applyNumberFormat="1" applyFont="1" applyFill="1" applyBorder="1" applyProtection="1">
      <protection locked="0"/>
    </xf>
    <xf numFmtId="0" fontId="17" fillId="0" borderId="6" xfId="0" applyFont="1" applyFill="1" applyBorder="1" applyProtection="1">
      <protection locked="0"/>
    </xf>
    <xf numFmtId="44" fontId="7" fillId="0" borderId="0" xfId="1" applyFont="1" applyFill="1" applyBorder="1" applyProtection="1">
      <protection locked="0"/>
    </xf>
    <xf numFmtId="10" fontId="1" fillId="0" borderId="0" xfId="0" applyNumberFormat="1" applyFont="1" applyFill="1" applyBorder="1" applyProtection="1">
      <protection locked="0"/>
    </xf>
    <xf numFmtId="44" fontId="1" fillId="0" borderId="11" xfId="1" applyFont="1" applyFill="1" applyBorder="1" applyProtection="1">
      <protection locked="0"/>
    </xf>
    <xf numFmtId="0" fontId="0" fillId="0" borderId="0" xfId="0" applyFont="1" applyFill="1" applyProtection="1">
      <protection locked="0"/>
    </xf>
    <xf numFmtId="44" fontId="14" fillId="2" borderId="15" xfId="1" applyFont="1" applyFill="1" applyBorder="1" applyProtection="1">
      <protection locked="0"/>
    </xf>
    <xf numFmtId="165" fontId="0" fillId="4" borderId="0" xfId="0" applyNumberFormat="1" applyFont="1" applyFill="1" applyBorder="1" applyProtection="1">
      <protection locked="0"/>
    </xf>
    <xf numFmtId="0" fontId="0" fillId="4" borderId="1" xfId="0" applyFont="1" applyFill="1" applyBorder="1" applyProtection="1">
      <protection locked="0"/>
    </xf>
    <xf numFmtId="0" fontId="7" fillId="4" borderId="14" xfId="0" applyFont="1" applyFill="1" applyBorder="1" applyProtection="1">
      <protection locked="0"/>
    </xf>
    <xf numFmtId="165" fontId="23" fillId="4" borderId="0" xfId="0" applyNumberFormat="1" applyFont="1" applyFill="1" applyBorder="1" applyProtection="1">
      <protection locked="0"/>
    </xf>
    <xf numFmtId="0" fontId="0" fillId="4" borderId="14" xfId="0" applyFont="1" applyFill="1" applyBorder="1" applyProtection="1">
      <protection locked="0"/>
    </xf>
    <xf numFmtId="0" fontId="17" fillId="4" borderId="12" xfId="0" applyFont="1" applyFill="1" applyBorder="1" applyProtection="1">
      <protection locked="0"/>
    </xf>
    <xf numFmtId="167" fontId="7" fillId="2" borderId="13" xfId="3" applyNumberFormat="1" applyFont="1" applyFill="1" applyBorder="1" applyAlignment="1" applyProtection="1">
      <alignment horizontal="center" wrapText="1"/>
      <protection locked="0"/>
    </xf>
    <xf numFmtId="167" fontId="7" fillId="2" borderId="8" xfId="3" applyNumberFormat="1" applyFont="1" applyFill="1" applyBorder="1" applyAlignment="1" applyProtection="1">
      <alignment horizontal="center" wrapText="1"/>
      <protection locked="0"/>
    </xf>
    <xf numFmtId="0" fontId="7" fillId="0" borderId="7" xfId="0" applyFont="1" applyBorder="1" applyProtection="1">
      <protection locked="0"/>
    </xf>
    <xf numFmtId="0" fontId="0" fillId="0" borderId="1" xfId="0" applyFont="1" applyBorder="1" applyProtection="1">
      <protection locked="0"/>
    </xf>
    <xf numFmtId="44" fontId="0" fillId="0" borderId="2" xfId="1" applyFont="1" applyBorder="1" applyProtection="1">
      <protection locked="0"/>
    </xf>
    <xf numFmtId="44" fontId="0" fillId="4" borderId="3" xfId="1" applyFont="1" applyFill="1" applyBorder="1" applyProtection="1">
      <protection locked="0"/>
    </xf>
    <xf numFmtId="44" fontId="0" fillId="4" borderId="18" xfId="1" applyFont="1" applyFill="1" applyBorder="1" applyProtection="1">
      <protection locked="0"/>
    </xf>
    <xf numFmtId="0" fontId="0" fillId="0" borderId="15" xfId="0" applyFont="1" applyBorder="1" applyProtection="1">
      <protection locked="0"/>
    </xf>
    <xf numFmtId="44" fontId="0" fillId="4" borderId="6" xfId="1" applyFont="1" applyFill="1" applyBorder="1" applyProtection="1">
      <protection locked="0"/>
    </xf>
    <xf numFmtId="44" fontId="0" fillId="4" borderId="11" xfId="1" applyFont="1" applyFill="1" applyBorder="1" applyProtection="1">
      <protection locked="0"/>
    </xf>
    <xf numFmtId="0" fontId="36" fillId="2" borderId="14" xfId="0" applyFont="1" applyFill="1" applyBorder="1" applyAlignment="1" applyProtection="1">
      <alignment horizontal="left"/>
      <protection locked="0"/>
    </xf>
    <xf numFmtId="0" fontId="36" fillId="2" borderId="1" xfId="0" applyFont="1" applyFill="1" applyBorder="1" applyProtection="1">
      <protection locked="0"/>
    </xf>
    <xf numFmtId="0" fontId="36" fillId="2" borderId="1" xfId="0" applyFont="1" applyFill="1" applyBorder="1" applyAlignment="1" applyProtection="1">
      <alignment horizontal="right"/>
      <protection locked="0"/>
    </xf>
    <xf numFmtId="44" fontId="7" fillId="4" borderId="0" xfId="1" applyFont="1" applyFill="1" applyBorder="1" applyProtection="1">
      <protection locked="0"/>
    </xf>
    <xf numFmtId="44" fontId="7" fillId="4" borderId="11" xfId="1" applyFont="1" applyFill="1" applyBorder="1" applyProtection="1">
      <protection locked="0"/>
    </xf>
    <xf numFmtId="44" fontId="7" fillId="4" borderId="7" xfId="1" applyFont="1" applyFill="1" applyBorder="1" applyProtection="1">
      <protection locked="0"/>
    </xf>
    <xf numFmtId="44" fontId="7" fillId="4" borderId="17" xfId="1" applyFont="1" applyFill="1" applyBorder="1" applyProtection="1">
      <protection locked="0"/>
    </xf>
    <xf numFmtId="0" fontId="13" fillId="2" borderId="14" xfId="0" applyFont="1" applyFill="1" applyBorder="1" applyAlignment="1" applyProtection="1">
      <alignment horizontal="left"/>
      <protection locked="0"/>
    </xf>
    <xf numFmtId="0" fontId="13" fillId="2" borderId="1" xfId="0" applyFont="1" applyFill="1" applyBorder="1" applyProtection="1">
      <protection locked="0"/>
    </xf>
    <xf numFmtId="44" fontId="13" fillId="2" borderId="2" xfId="1" applyFont="1" applyFill="1" applyBorder="1" applyProtection="1">
      <protection locked="0"/>
    </xf>
    <xf numFmtId="0" fontId="0" fillId="4" borderId="6" xfId="0" applyFont="1" applyFill="1" applyBorder="1" applyAlignment="1" applyProtection="1">
      <alignment wrapText="1"/>
      <protection locked="0"/>
    </xf>
    <xf numFmtId="0" fontId="0" fillId="4" borderId="0" xfId="0" applyFont="1" applyFill="1" applyBorder="1" applyAlignment="1" applyProtection="1">
      <alignment horizontal="center"/>
      <protection locked="0"/>
    </xf>
    <xf numFmtId="44" fontId="0" fillId="4" borderId="0" xfId="0" applyNumberFormat="1" applyFont="1" applyFill="1" applyBorder="1" applyAlignment="1" applyProtection="1">
      <alignment horizontal="right"/>
      <protection locked="0"/>
    </xf>
    <xf numFmtId="44" fontId="0" fillId="4" borderId="17" xfId="1" applyFont="1" applyFill="1" applyBorder="1" applyProtection="1">
      <protection locked="0"/>
    </xf>
    <xf numFmtId="0" fontId="4" fillId="2" borderId="14" xfId="0" applyFont="1" applyFill="1" applyBorder="1" applyProtection="1">
      <protection locked="0"/>
    </xf>
    <xf numFmtId="0" fontId="4" fillId="2" borderId="15" xfId="0" applyFont="1" applyFill="1" applyBorder="1" applyProtection="1">
      <protection locked="0"/>
    </xf>
    <xf numFmtId="0" fontId="23" fillId="0" borderId="0" xfId="0" applyFont="1" applyProtection="1">
      <protection locked="0"/>
    </xf>
    <xf numFmtId="0" fontId="3" fillId="4" borderId="38" xfId="0" applyFont="1" applyFill="1" applyBorder="1" applyProtection="1"/>
    <xf numFmtId="0" fontId="3" fillId="8" borderId="39" xfId="0" applyFont="1" applyFill="1" applyBorder="1" applyAlignment="1" applyProtection="1">
      <alignment horizontal="right"/>
    </xf>
    <xf numFmtId="44" fontId="14" fillId="2" borderId="2" xfId="1" applyFont="1" applyFill="1" applyBorder="1" applyProtection="1"/>
    <xf numFmtId="10" fontId="28" fillId="4" borderId="0" xfId="2" applyNumberFormat="1" applyFont="1" applyFill="1" applyBorder="1" applyAlignment="1" applyProtection="1">
      <alignment horizontal="left"/>
    </xf>
    <xf numFmtId="44" fontId="22" fillId="0" borderId="0" xfId="1" applyFont="1" applyAlignment="1" applyProtection="1">
      <alignment horizontal="left"/>
    </xf>
    <xf numFmtId="0" fontId="22" fillId="0" borderId="0" xfId="0" applyFont="1" applyFill="1" applyAlignment="1" applyProtection="1">
      <alignment horizontal="left"/>
    </xf>
    <xf numFmtId="10" fontId="7" fillId="4" borderId="2" xfId="0" applyNumberFormat="1" applyFont="1" applyFill="1" applyBorder="1" applyProtection="1"/>
    <xf numFmtId="44" fontId="0" fillId="4" borderId="2" xfId="1" applyFont="1" applyFill="1" applyBorder="1" applyProtection="1"/>
    <xf numFmtId="44" fontId="0" fillId="4" borderId="8" xfId="1" applyFont="1" applyFill="1" applyBorder="1" applyProtection="1"/>
    <xf numFmtId="10" fontId="24" fillId="2" borderId="2" xfId="2" applyNumberFormat="1" applyFont="1" applyFill="1" applyBorder="1" applyProtection="1"/>
    <xf numFmtId="44" fontId="24" fillId="2" borderId="2" xfId="1" applyFont="1" applyFill="1" applyBorder="1" applyProtection="1"/>
    <xf numFmtId="44" fontId="1" fillId="4" borderId="2" xfId="1" applyFont="1" applyFill="1" applyBorder="1" applyProtection="1"/>
    <xf numFmtId="10" fontId="24" fillId="2" borderId="15" xfId="2" applyNumberFormat="1" applyFont="1" applyFill="1" applyBorder="1" applyProtection="1"/>
    <xf numFmtId="10" fontId="17" fillId="4" borderId="5" xfId="0" applyNumberFormat="1" applyFont="1" applyFill="1" applyBorder="1" applyProtection="1"/>
    <xf numFmtId="44" fontId="23" fillId="4" borderId="5" xfId="1" applyFont="1" applyFill="1" applyBorder="1" applyProtection="1"/>
    <xf numFmtId="10" fontId="7" fillId="2" borderId="2" xfId="2" applyNumberFormat="1" applyFont="1" applyFill="1" applyBorder="1" applyProtection="1"/>
    <xf numFmtId="44" fontId="23" fillId="4" borderId="2" xfId="1" applyFont="1" applyFill="1" applyBorder="1" applyProtection="1"/>
    <xf numFmtId="10" fontId="23" fillId="4" borderId="2" xfId="2" applyNumberFormat="1" applyFont="1" applyFill="1" applyBorder="1" applyProtection="1"/>
    <xf numFmtId="44" fontId="7" fillId="2" borderId="15" xfId="1" applyFont="1" applyFill="1" applyBorder="1" applyProtection="1"/>
    <xf numFmtId="44" fontId="0" fillId="0" borderId="14" xfId="1" applyFont="1" applyFill="1" applyBorder="1" applyProtection="1"/>
    <xf numFmtId="44" fontId="7" fillId="0" borderId="34" xfId="1" applyFont="1" applyFill="1" applyBorder="1" applyProtection="1"/>
    <xf numFmtId="10" fontId="23" fillId="0" borderId="2" xfId="0" applyNumberFormat="1" applyFont="1" applyFill="1" applyBorder="1" applyProtection="1"/>
    <xf numFmtId="10" fontId="23" fillId="2" borderId="2" xfId="0" applyNumberFormat="1" applyFont="1" applyFill="1" applyBorder="1" applyProtection="1"/>
    <xf numFmtId="44" fontId="23" fillId="0" borderId="2" xfId="1" applyFont="1" applyFill="1" applyBorder="1" applyProtection="1"/>
    <xf numFmtId="44" fontId="23" fillId="2" borderId="2" xfId="1" applyFont="1" applyFill="1" applyBorder="1" applyProtection="1"/>
    <xf numFmtId="44" fontId="0" fillId="0" borderId="2" xfId="1" applyFont="1" applyFill="1" applyBorder="1" applyProtection="1"/>
    <xf numFmtId="10" fontId="1" fillId="4" borderId="2" xfId="0" applyNumberFormat="1" applyFont="1" applyFill="1" applyBorder="1" applyProtection="1"/>
    <xf numFmtId="44" fontId="1" fillId="0" borderId="2" xfId="1" applyFont="1" applyFill="1" applyBorder="1" applyProtection="1"/>
    <xf numFmtId="44" fontId="1" fillId="2" borderId="2" xfId="1" applyFont="1" applyFill="1" applyBorder="1" applyProtection="1"/>
    <xf numFmtId="44" fontId="14" fillId="2" borderId="15" xfId="1" applyFont="1" applyFill="1" applyBorder="1" applyProtection="1"/>
    <xf numFmtId="44" fontId="0" fillId="4" borderId="34" xfId="1" applyFont="1" applyFill="1" applyBorder="1" applyProtection="1"/>
    <xf numFmtId="165" fontId="14" fillId="2" borderId="2" xfId="0" applyNumberFormat="1" applyFont="1" applyFill="1" applyBorder="1" applyProtection="1"/>
    <xf numFmtId="0" fontId="0" fillId="4" borderId="2" xfId="0" applyFont="1" applyFill="1" applyBorder="1" applyProtection="1"/>
    <xf numFmtId="0" fontId="0" fillId="4" borderId="13" xfId="0" applyFont="1" applyFill="1" applyBorder="1" applyProtection="1"/>
    <xf numFmtId="3" fontId="25" fillId="4" borderId="76" xfId="0" applyNumberFormat="1" applyFont="1" applyFill="1" applyBorder="1" applyProtection="1"/>
    <xf numFmtId="10" fontId="13" fillId="10" borderId="23" xfId="2" applyNumberFormat="1" applyFont="1" applyFill="1" applyBorder="1" applyAlignment="1" applyProtection="1">
      <alignment horizontal="center"/>
    </xf>
    <xf numFmtId="44" fontId="0" fillId="0" borderId="2" xfId="1" applyFont="1" applyBorder="1" applyProtection="1"/>
    <xf numFmtId="44" fontId="0" fillId="0" borderId="13" xfId="1" applyFont="1" applyBorder="1" applyProtection="1"/>
    <xf numFmtId="44" fontId="13" fillId="11" borderId="23" xfId="1" applyFont="1" applyFill="1" applyBorder="1" applyProtection="1"/>
    <xf numFmtId="44" fontId="7" fillId="2" borderId="8" xfId="1" applyFont="1" applyFill="1" applyBorder="1" applyProtection="1"/>
    <xf numFmtId="44" fontId="13" fillId="2" borderId="2" xfId="1" applyFont="1" applyFill="1" applyBorder="1" applyProtection="1"/>
    <xf numFmtId="166" fontId="0" fillId="0" borderId="8" xfId="1" applyNumberFormat="1" applyFont="1" applyFill="1" applyBorder="1" applyProtection="1"/>
    <xf numFmtId="9" fontId="0" fillId="4" borderId="0" xfId="1" applyNumberFormat="1" applyFont="1" applyFill="1" applyBorder="1" applyProtection="1"/>
    <xf numFmtId="44" fontId="0" fillId="4" borderId="11" xfId="1" applyFont="1" applyFill="1" applyBorder="1" applyProtection="1"/>
    <xf numFmtId="44" fontId="0" fillId="4" borderId="17" xfId="1" applyFont="1" applyFill="1" applyBorder="1" applyProtection="1"/>
    <xf numFmtId="44" fontId="4" fillId="2" borderId="16" xfId="1" applyFont="1" applyFill="1" applyBorder="1" applyProtection="1"/>
    <xf numFmtId="0" fontId="0" fillId="4" borderId="15" xfId="0" applyFont="1" applyFill="1" applyBorder="1" applyProtection="1"/>
    <xf numFmtId="2" fontId="0" fillId="0" borderId="8" xfId="0" applyNumberFormat="1" applyFont="1" applyBorder="1" applyProtection="1"/>
    <xf numFmtId="2" fontId="27" fillId="4" borderId="8" xfId="0" applyNumberFormat="1" applyFont="1" applyFill="1" applyBorder="1" applyProtection="1"/>
    <xf numFmtId="2" fontId="0" fillId="0" borderId="2" xfId="0" applyNumberFormat="1" applyFont="1" applyBorder="1" applyProtection="1"/>
    <xf numFmtId="2" fontId="27" fillId="4" borderId="2" xfId="0" applyNumberFormat="1" applyFont="1" applyFill="1" applyBorder="1" applyProtection="1"/>
    <xf numFmtId="2" fontId="0" fillId="0" borderId="24" xfId="0" applyNumberFormat="1" applyFont="1" applyBorder="1" applyProtection="1"/>
    <xf numFmtId="2" fontId="27" fillId="4" borderId="24" xfId="0" applyNumberFormat="1" applyFont="1" applyFill="1" applyBorder="1" applyProtection="1"/>
    <xf numFmtId="2" fontId="27" fillId="0" borderId="8" xfId="0" applyNumberFormat="1" applyFont="1" applyBorder="1" applyProtection="1"/>
    <xf numFmtId="2" fontId="0" fillId="4" borderId="8" xfId="0" applyNumberFormat="1" applyFont="1" applyFill="1" applyBorder="1" applyProtection="1"/>
    <xf numFmtId="2" fontId="7" fillId="0" borderId="8" xfId="0" applyNumberFormat="1" applyFont="1" applyBorder="1" applyProtection="1"/>
    <xf numFmtId="2" fontId="7" fillId="0" borderId="24" xfId="0" applyNumberFormat="1" applyFont="1" applyBorder="1" applyProtection="1"/>
    <xf numFmtId="2" fontId="7" fillId="4" borderId="24" xfId="0" applyNumberFormat="1" applyFont="1" applyFill="1" applyBorder="1" applyProtection="1"/>
    <xf numFmtId="0" fontId="33" fillId="8" borderId="3" xfId="0" applyFont="1" applyFill="1" applyBorder="1" applyProtection="1">
      <protection locked="0"/>
    </xf>
    <xf numFmtId="0" fontId="0" fillId="8" borderId="4" xfId="0" applyFont="1" applyFill="1" applyBorder="1" applyProtection="1">
      <protection locked="0"/>
    </xf>
    <xf numFmtId="0" fontId="23" fillId="8" borderId="4" xfId="0" applyFont="1" applyFill="1" applyBorder="1" applyProtection="1">
      <protection locked="0"/>
    </xf>
    <xf numFmtId="0" fontId="0" fillId="8" borderId="18" xfId="0" applyFont="1" applyFill="1" applyBorder="1" applyProtection="1">
      <protection locked="0"/>
    </xf>
    <xf numFmtId="0" fontId="44" fillId="8" borderId="6" xfId="0" applyFont="1" applyFill="1" applyBorder="1" applyProtection="1">
      <protection locked="0"/>
    </xf>
    <xf numFmtId="0" fontId="44" fillId="8" borderId="0" xfId="0" applyFont="1" applyFill="1" applyBorder="1" applyProtection="1">
      <protection locked="0"/>
    </xf>
    <xf numFmtId="0" fontId="14" fillId="8" borderId="11" xfId="0" applyFont="1" applyFill="1" applyBorder="1" applyAlignment="1" applyProtection="1">
      <alignment horizontal="right"/>
      <protection locked="0"/>
    </xf>
    <xf numFmtId="0" fontId="7" fillId="4" borderId="3" xfId="0" applyFont="1" applyFill="1" applyBorder="1" applyAlignment="1" applyProtection="1">
      <alignment horizontal="left"/>
      <protection locked="0"/>
    </xf>
    <xf numFmtId="0" fontId="7" fillId="3" borderId="3" xfId="0" applyFont="1" applyFill="1" applyBorder="1" applyProtection="1">
      <protection locked="0"/>
    </xf>
    <xf numFmtId="0" fontId="7" fillId="3" borderId="4" xfId="0" applyFont="1" applyFill="1" applyBorder="1" applyProtection="1">
      <protection locked="0"/>
    </xf>
    <xf numFmtId="0" fontId="7" fillId="3" borderId="18" xfId="0" applyFont="1" applyFill="1" applyBorder="1" applyProtection="1">
      <protection locked="0"/>
    </xf>
    <xf numFmtId="0" fontId="9" fillId="0" borderId="0" xfId="0" applyFont="1" applyAlignment="1" applyProtection="1">
      <alignment horizontal="left"/>
      <protection locked="0"/>
    </xf>
    <xf numFmtId="0" fontId="0" fillId="2" borderId="14" xfId="0" applyFont="1" applyFill="1" applyBorder="1" applyProtection="1">
      <protection locked="0"/>
    </xf>
    <xf numFmtId="0" fontId="0" fillId="2" borderId="16" xfId="0" applyFont="1" applyFill="1" applyBorder="1" applyProtection="1">
      <protection locked="0"/>
    </xf>
    <xf numFmtId="0" fontId="0" fillId="2" borderId="20" xfId="0" applyFont="1" applyFill="1" applyBorder="1" applyAlignment="1" applyProtection="1">
      <alignment horizontal="center" wrapText="1"/>
      <protection locked="0"/>
    </xf>
    <xf numFmtId="0" fontId="0" fillId="2" borderId="19" xfId="0" applyFont="1" applyFill="1" applyBorder="1" applyAlignment="1" applyProtection="1">
      <alignment horizontal="center" wrapText="1"/>
      <protection locked="0"/>
    </xf>
    <xf numFmtId="0" fontId="0" fillId="2" borderId="56" xfId="0" applyFont="1" applyFill="1" applyBorder="1" applyAlignment="1" applyProtection="1">
      <alignment horizontal="center" wrapText="1"/>
      <protection locked="0"/>
    </xf>
    <xf numFmtId="0" fontId="0" fillId="2" borderId="32" xfId="0" applyFont="1" applyFill="1" applyBorder="1" applyAlignment="1" applyProtection="1">
      <alignment horizontal="center" wrapText="1"/>
      <protection locked="0"/>
    </xf>
    <xf numFmtId="0" fontId="25" fillId="2" borderId="7" xfId="0" applyFont="1" applyFill="1" applyBorder="1" applyProtection="1">
      <protection locked="0"/>
    </xf>
    <xf numFmtId="0" fontId="0" fillId="2" borderId="1" xfId="0" applyFont="1"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center" wrapText="1"/>
      <protection locked="0"/>
    </xf>
    <xf numFmtId="0" fontId="0" fillId="2" borderId="17" xfId="0" applyFont="1" applyFill="1" applyBorder="1" applyAlignment="1" applyProtection="1">
      <alignment horizontal="center" wrapText="1"/>
      <protection locked="0"/>
    </xf>
    <xf numFmtId="0" fontId="38" fillId="3" borderId="14" xfId="0" applyFont="1" applyFill="1" applyBorder="1" applyProtection="1">
      <protection locked="0"/>
    </xf>
    <xf numFmtId="0" fontId="0" fillId="3" borderId="15" xfId="0" applyFont="1" applyFill="1" applyBorder="1" applyProtection="1">
      <protection locked="0"/>
    </xf>
    <xf numFmtId="166" fontId="0" fillId="3" borderId="14" xfId="1" applyNumberFormat="1" applyFont="1" applyFill="1" applyBorder="1" applyProtection="1">
      <protection locked="0"/>
    </xf>
    <xf numFmtId="166" fontId="0" fillId="3" borderId="2" xfId="1" applyNumberFormat="1" applyFont="1" applyFill="1" applyBorder="1" applyProtection="1">
      <protection locked="0"/>
    </xf>
    <xf numFmtId="166" fontId="0" fillId="3" borderId="16" xfId="1" applyNumberFormat="1" applyFont="1" applyFill="1" applyBorder="1" applyProtection="1">
      <protection locked="0"/>
    </xf>
    <xf numFmtId="166" fontId="1" fillId="3" borderId="2" xfId="1" applyNumberFormat="1" applyFont="1" applyFill="1" applyBorder="1" applyProtection="1">
      <protection locked="0"/>
    </xf>
    <xf numFmtId="0" fontId="38" fillId="3" borderId="22" xfId="0" applyFont="1" applyFill="1" applyBorder="1" applyProtection="1">
      <protection locked="0"/>
    </xf>
    <xf numFmtId="0" fontId="0" fillId="3" borderId="21" xfId="0" applyFont="1" applyFill="1" applyBorder="1" applyProtection="1">
      <protection locked="0"/>
    </xf>
    <xf numFmtId="166" fontId="0" fillId="3" borderId="22" xfId="1" applyNumberFormat="1" applyFont="1" applyFill="1" applyBorder="1" applyProtection="1">
      <protection locked="0"/>
    </xf>
    <xf numFmtId="166" fontId="0" fillId="3" borderId="12" xfId="1" applyNumberFormat="1" applyFont="1" applyFill="1" applyBorder="1" applyProtection="1">
      <protection locked="0"/>
    </xf>
    <xf numFmtId="166" fontId="0" fillId="3" borderId="52" xfId="1" applyNumberFormat="1" applyFont="1" applyFill="1" applyBorder="1" applyProtection="1">
      <protection locked="0"/>
    </xf>
    <xf numFmtId="0" fontId="25" fillId="2" borderId="54" xfId="0" applyFont="1" applyFill="1" applyBorder="1" applyProtection="1">
      <protection locked="0"/>
    </xf>
    <xf numFmtId="0" fontId="0" fillId="2" borderId="55" xfId="0" applyFont="1" applyFill="1" applyBorder="1" applyProtection="1">
      <protection locked="0"/>
    </xf>
    <xf numFmtId="0" fontId="38" fillId="3" borderId="3" xfId="0" applyFont="1" applyFill="1" applyBorder="1" applyProtection="1">
      <protection locked="0"/>
    </xf>
    <xf numFmtId="0" fontId="0" fillId="3" borderId="4" xfId="0" applyFont="1" applyFill="1" applyBorder="1" applyProtection="1">
      <protection locked="0"/>
    </xf>
    <xf numFmtId="166" fontId="0" fillId="3" borderId="3" xfId="1" applyNumberFormat="1" applyFont="1" applyFill="1" applyBorder="1" applyProtection="1">
      <protection locked="0"/>
    </xf>
    <xf numFmtId="166" fontId="0" fillId="3" borderId="13" xfId="1" applyNumberFormat="1" applyFont="1" applyFill="1" applyBorder="1" applyProtection="1">
      <protection locked="0"/>
    </xf>
    <xf numFmtId="166" fontId="0" fillId="3" borderId="18" xfId="1" applyNumberFormat="1" applyFont="1" applyFill="1" applyBorder="1" applyProtection="1">
      <protection locked="0"/>
    </xf>
    <xf numFmtId="0" fontId="25" fillId="2" borderId="26" xfId="0" applyFont="1" applyFill="1" applyBorder="1" applyProtection="1">
      <protection locked="0"/>
    </xf>
    <xf numFmtId="0" fontId="7" fillId="2" borderId="14" xfId="0" applyFont="1" applyFill="1" applyBorder="1" applyProtection="1">
      <protection locked="0"/>
    </xf>
    <xf numFmtId="0" fontId="24" fillId="4" borderId="6" xfId="0" applyFont="1" applyFill="1" applyBorder="1" applyProtection="1">
      <protection locked="0"/>
    </xf>
    <xf numFmtId="0" fontId="17" fillId="2" borderId="15" xfId="0" applyFont="1" applyFill="1" applyBorder="1" applyProtection="1">
      <protection locked="0"/>
    </xf>
    <xf numFmtId="10" fontId="23" fillId="2" borderId="15" xfId="0" applyNumberFormat="1" applyFont="1" applyFill="1" applyBorder="1" applyProtection="1">
      <protection locked="0"/>
    </xf>
    <xf numFmtId="0" fontId="18" fillId="2" borderId="2" xfId="0" applyFont="1" applyFill="1" applyBorder="1" applyProtection="1">
      <protection locked="0"/>
    </xf>
    <xf numFmtId="0" fontId="3" fillId="2" borderId="2" xfId="0" applyFont="1" applyFill="1" applyBorder="1" applyAlignment="1" applyProtection="1">
      <alignment horizontal="right"/>
      <protection locked="0"/>
    </xf>
    <xf numFmtId="0" fontId="7" fillId="4" borderId="16" xfId="0" applyFont="1" applyFill="1" applyBorder="1" applyProtection="1">
      <protection locked="0"/>
    </xf>
    <xf numFmtId="0" fontId="0" fillId="4" borderId="16" xfId="0" applyFont="1" applyFill="1" applyBorder="1" applyProtection="1">
      <protection locked="0"/>
    </xf>
    <xf numFmtId="3" fontId="0" fillId="3" borderId="2" xfId="0" applyNumberFormat="1" applyFont="1" applyFill="1" applyBorder="1" applyProtection="1">
      <protection locked="0"/>
    </xf>
    <xf numFmtId="0" fontId="7" fillId="0" borderId="0" xfId="0" applyFont="1" applyAlignment="1" applyProtection="1">
      <alignment horizontal="right"/>
      <protection locked="0"/>
    </xf>
    <xf numFmtId="0" fontId="14" fillId="4" borderId="4" xfId="0" applyFont="1" applyFill="1" applyBorder="1" applyProtection="1">
      <protection locked="0"/>
    </xf>
    <xf numFmtId="3" fontId="0" fillId="4" borderId="4" xfId="0" applyNumberFormat="1" applyFont="1" applyFill="1" applyBorder="1" applyProtection="1">
      <protection locked="0"/>
    </xf>
    <xf numFmtId="0" fontId="51" fillId="4" borderId="6" xfId="0" applyFont="1" applyFill="1" applyBorder="1" applyProtection="1">
      <protection locked="0"/>
    </xf>
    <xf numFmtId="0" fontId="51" fillId="4" borderId="0" xfId="0" applyFont="1" applyFill="1" applyBorder="1" applyProtection="1">
      <protection locked="0"/>
    </xf>
    <xf numFmtId="0" fontId="7" fillId="2" borderId="15" xfId="0" applyFont="1" applyFill="1" applyBorder="1" applyProtection="1">
      <protection locked="0"/>
    </xf>
    <xf numFmtId="165" fontId="24" fillId="4" borderId="11" xfId="0" applyNumberFormat="1" applyFont="1" applyFill="1" applyBorder="1" applyProtection="1">
      <protection locked="0"/>
    </xf>
    <xf numFmtId="0" fontId="29" fillId="4" borderId="0" xfId="0" applyFont="1" applyFill="1" applyBorder="1" applyProtection="1">
      <protection locked="0"/>
    </xf>
    <xf numFmtId="10" fontId="0" fillId="4" borderId="0" xfId="2" applyNumberFormat="1" applyFont="1" applyFill="1" applyBorder="1" applyProtection="1">
      <protection locked="0"/>
    </xf>
    <xf numFmtId="0" fontId="17" fillId="0" borderId="14" xfId="0" applyFont="1" applyFill="1" applyBorder="1" applyProtection="1">
      <protection locked="0"/>
    </xf>
    <xf numFmtId="0" fontId="0" fillId="4" borderId="3" xfId="0" applyFont="1" applyFill="1" applyBorder="1" applyProtection="1">
      <protection locked="0"/>
    </xf>
    <xf numFmtId="44" fontId="23" fillId="4" borderId="18" xfId="1" applyFont="1" applyFill="1" applyBorder="1" applyProtection="1">
      <protection locked="0"/>
    </xf>
    <xf numFmtId="0" fontId="17" fillId="4" borderId="1" xfId="0" applyFont="1" applyFill="1" applyBorder="1" applyProtection="1">
      <protection locked="0"/>
    </xf>
    <xf numFmtId="0" fontId="7" fillId="4" borderId="17" xfId="0" applyFont="1" applyFill="1" applyBorder="1" applyAlignment="1" applyProtection="1">
      <alignment horizontal="right"/>
      <protection locked="0"/>
    </xf>
    <xf numFmtId="0" fontId="7" fillId="0" borderId="2" xfId="0" applyFont="1" applyFill="1" applyBorder="1" applyProtection="1">
      <protection locked="0"/>
    </xf>
    <xf numFmtId="44" fontId="0" fillId="0" borderId="8" xfId="1" applyFont="1" applyBorder="1" applyProtection="1">
      <protection locked="0"/>
    </xf>
    <xf numFmtId="44" fontId="7" fillId="4" borderId="6" xfId="1" applyFont="1" applyFill="1" applyBorder="1" applyProtection="1">
      <protection locked="0"/>
    </xf>
    <xf numFmtId="0" fontId="0" fillId="4" borderId="17" xfId="0" applyFont="1" applyFill="1" applyBorder="1" applyProtection="1">
      <protection locked="0"/>
    </xf>
    <xf numFmtId="0" fontId="7" fillId="4" borderId="3" xfId="0" applyFont="1" applyFill="1" applyBorder="1" applyAlignment="1" applyProtection="1">
      <alignment horizontal="left"/>
    </xf>
    <xf numFmtId="166" fontId="0" fillId="4" borderId="16" xfId="1" applyNumberFormat="1" applyFont="1" applyFill="1" applyBorder="1" applyProtection="1"/>
    <xf numFmtId="166" fontId="3" fillId="2" borderId="53" xfId="1" applyNumberFormat="1" applyFont="1" applyFill="1" applyBorder="1" applyProtection="1"/>
    <xf numFmtId="166" fontId="3" fillId="2" borderId="54" xfId="1" applyNumberFormat="1" applyFont="1" applyFill="1" applyBorder="1" applyProtection="1"/>
    <xf numFmtId="166" fontId="3" fillId="2" borderId="26" xfId="1" applyNumberFormat="1" applyFont="1" applyFill="1" applyBorder="1" applyProtection="1"/>
    <xf numFmtId="166" fontId="3" fillId="2" borderId="25" xfId="1" applyNumberFormat="1" applyFont="1" applyFill="1" applyBorder="1" applyProtection="1"/>
    <xf numFmtId="166" fontId="0" fillId="4" borderId="12" xfId="1" applyNumberFormat="1" applyFont="1" applyFill="1" applyBorder="1" applyProtection="1"/>
    <xf numFmtId="10" fontId="1" fillId="0" borderId="2" xfId="0" applyNumberFormat="1" applyFont="1" applyFill="1" applyBorder="1" applyProtection="1"/>
    <xf numFmtId="10" fontId="0" fillId="4" borderId="2" xfId="2" applyNumberFormat="1" applyFont="1" applyFill="1" applyBorder="1" applyProtection="1"/>
    <xf numFmtId="10" fontId="3" fillId="4" borderId="2" xfId="2" applyNumberFormat="1" applyFont="1" applyFill="1" applyBorder="1" applyProtection="1"/>
    <xf numFmtId="3" fontId="0" fillId="4" borderId="13" xfId="0" applyNumberFormat="1" applyFont="1" applyFill="1" applyBorder="1" applyProtection="1"/>
    <xf numFmtId="0" fontId="0" fillId="4" borderId="18" xfId="0" applyFont="1" applyFill="1" applyBorder="1" applyAlignment="1" applyProtection="1">
      <alignment horizontal="right"/>
    </xf>
    <xf numFmtId="44" fontId="3" fillId="2" borderId="2" xfId="1" applyFont="1" applyFill="1" applyBorder="1" applyProtection="1"/>
    <xf numFmtId="10" fontId="0" fillId="4" borderId="2" xfId="0" applyNumberFormat="1" applyFont="1" applyFill="1" applyBorder="1" applyProtection="1"/>
    <xf numFmtId="3" fontId="25" fillId="4" borderId="12" xfId="0" applyNumberFormat="1" applyFont="1" applyFill="1" applyBorder="1" applyProtection="1"/>
    <xf numFmtId="10" fontId="14" fillId="4" borderId="8" xfId="2" applyNumberFormat="1" applyFont="1" applyFill="1" applyBorder="1" applyAlignment="1" applyProtection="1">
      <alignment horizontal="center"/>
    </xf>
    <xf numFmtId="44" fontId="0" fillId="0" borderId="8" xfId="1" applyFont="1" applyBorder="1" applyProtection="1"/>
    <xf numFmtId="44" fontId="7" fillId="2" borderId="2" xfId="1" applyFont="1" applyFill="1" applyBorder="1" applyProtection="1"/>
    <xf numFmtId="0" fontId="17" fillId="4" borderId="4" xfId="3" applyFont="1" applyFill="1" applyBorder="1" applyProtection="1">
      <protection locked="0"/>
    </xf>
    <xf numFmtId="0" fontId="17" fillId="4" borderId="18" xfId="3" applyFont="1" applyFill="1" applyBorder="1" applyProtection="1">
      <protection locked="0"/>
    </xf>
    <xf numFmtId="0" fontId="17" fillId="0" borderId="0" xfId="3" applyFont="1" applyFill="1" applyProtection="1">
      <protection locked="0"/>
    </xf>
    <xf numFmtId="0" fontId="34" fillId="4" borderId="7" xfId="0" applyFont="1" applyFill="1" applyBorder="1" applyProtection="1">
      <protection locked="0"/>
    </xf>
    <xf numFmtId="0" fontId="17" fillId="4" borderId="1" xfId="3" applyFont="1" applyFill="1" applyBorder="1" applyProtection="1">
      <protection locked="0"/>
    </xf>
    <xf numFmtId="0" fontId="17" fillId="4" borderId="0" xfId="3" applyFont="1" applyFill="1" applyBorder="1" applyProtection="1">
      <protection locked="0"/>
    </xf>
    <xf numFmtId="0" fontId="17" fillId="0" borderId="16" xfId="3" applyFont="1" applyFill="1" applyBorder="1" applyProtection="1">
      <protection locked="0"/>
    </xf>
    <xf numFmtId="0" fontId="18" fillId="4" borderId="6" xfId="0" applyFont="1" applyFill="1" applyBorder="1" applyProtection="1">
      <protection locked="0"/>
    </xf>
    <xf numFmtId="0" fontId="17" fillId="4" borderId="11" xfId="3" applyFont="1" applyFill="1" applyBorder="1" applyProtection="1">
      <protection locked="0"/>
    </xf>
    <xf numFmtId="49" fontId="14" fillId="2" borderId="3" xfId="3" applyNumberFormat="1" applyFont="1" applyFill="1" applyBorder="1" applyAlignment="1" applyProtection="1">
      <alignment horizontal="left"/>
      <protection locked="0"/>
    </xf>
    <xf numFmtId="0" fontId="7" fillId="2" borderId="4" xfId="3" applyFont="1" applyFill="1" applyBorder="1" applyProtection="1">
      <protection locked="0"/>
    </xf>
    <xf numFmtId="167" fontId="14" fillId="2" borderId="13" xfId="3" applyNumberFormat="1" applyFont="1" applyFill="1" applyBorder="1" applyAlignment="1" applyProtection="1">
      <alignment horizontal="center" wrapText="1"/>
      <protection locked="0"/>
    </xf>
    <xf numFmtId="167" fontId="14" fillId="2" borderId="3" xfId="3" applyNumberFormat="1" applyFont="1" applyFill="1" applyBorder="1" applyAlignment="1" applyProtection="1">
      <alignment horizontal="center" wrapText="1"/>
      <protection locked="0"/>
    </xf>
    <xf numFmtId="167" fontId="42" fillId="2" borderId="58" xfId="3" applyNumberFormat="1" applyFont="1" applyFill="1" applyBorder="1" applyAlignment="1" applyProtection="1">
      <alignment horizontal="center" wrapText="1"/>
      <protection locked="0"/>
    </xf>
    <xf numFmtId="49" fontId="14" fillId="2" borderId="7" xfId="3" applyNumberFormat="1" applyFont="1" applyFill="1" applyBorder="1" applyAlignment="1" applyProtection="1">
      <alignment horizontal="left"/>
      <protection locked="0"/>
    </xf>
    <xf numFmtId="0" fontId="7" fillId="2" borderId="1" xfId="3" applyFont="1" applyFill="1" applyBorder="1" applyProtection="1">
      <protection locked="0"/>
    </xf>
    <xf numFmtId="167" fontId="14" fillId="2" borderId="8" xfId="3" applyNumberFormat="1" applyFont="1" applyFill="1" applyBorder="1" applyAlignment="1" applyProtection="1">
      <alignment horizontal="center" wrapText="1"/>
      <protection locked="0"/>
    </xf>
    <xf numFmtId="167" fontId="14" fillId="2" borderId="7" xfId="3" applyNumberFormat="1" applyFont="1" applyFill="1" applyBorder="1" applyAlignment="1" applyProtection="1">
      <alignment horizontal="center" wrapText="1"/>
      <protection locked="0"/>
    </xf>
    <xf numFmtId="167" fontId="42" fillId="2" borderId="59" xfId="3" applyNumberFormat="1" applyFont="1" applyFill="1" applyBorder="1" applyAlignment="1" applyProtection="1">
      <alignment horizontal="center" wrapText="1"/>
      <protection locked="0"/>
    </xf>
    <xf numFmtId="0" fontId="14" fillId="4" borderId="40" xfId="3" applyFont="1" applyFill="1" applyBorder="1" applyProtection="1">
      <protection locked="0"/>
    </xf>
    <xf numFmtId="49" fontId="14" fillId="0" borderId="32" xfId="3" applyNumberFormat="1" applyFont="1" applyFill="1" applyBorder="1" applyAlignment="1" applyProtection="1">
      <alignment horizontal="center"/>
      <protection locked="0"/>
    </xf>
    <xf numFmtId="0" fontId="7" fillId="4" borderId="24" xfId="0" applyFont="1" applyFill="1" applyBorder="1" applyAlignment="1" applyProtection="1">
      <alignment horizontal="right"/>
      <protection locked="0"/>
    </xf>
    <xf numFmtId="10" fontId="42" fillId="4" borderId="60" xfId="2" applyNumberFormat="1" applyFont="1" applyFill="1" applyBorder="1" applyAlignment="1" applyProtection="1">
      <alignment horizontal="center"/>
      <protection locked="0"/>
    </xf>
    <xf numFmtId="0" fontId="0" fillId="3" borderId="7" xfId="0" applyFont="1" applyFill="1" applyBorder="1" applyAlignment="1" applyProtection="1">
      <alignment vertical="center"/>
      <protection locked="0"/>
    </xf>
    <xf numFmtId="167" fontId="7" fillId="3" borderId="17" xfId="3" applyNumberFormat="1" applyFont="1" applyFill="1" applyBorder="1" applyProtection="1">
      <protection locked="0"/>
    </xf>
    <xf numFmtId="44" fontId="7" fillId="3" borderId="8" xfId="1" applyFont="1" applyFill="1" applyBorder="1" applyProtection="1">
      <protection locked="0"/>
    </xf>
    <xf numFmtId="44" fontId="7" fillId="4" borderId="2" xfId="1" applyFont="1" applyFill="1" applyBorder="1" applyProtection="1">
      <protection locked="0"/>
    </xf>
    <xf numFmtId="0" fontId="0" fillId="3" borderId="14" xfId="0" applyFont="1" applyFill="1" applyBorder="1" applyAlignment="1" applyProtection="1">
      <alignment vertical="center"/>
      <protection locked="0"/>
    </xf>
    <xf numFmtId="167" fontId="0" fillId="3" borderId="16" xfId="3" applyNumberFormat="1" applyFont="1" applyFill="1" applyBorder="1" applyProtection="1">
      <protection locked="0"/>
    </xf>
    <xf numFmtId="0" fontId="7" fillId="3" borderId="14" xfId="0" applyFont="1" applyFill="1" applyBorder="1" applyAlignment="1" applyProtection="1">
      <alignment vertical="center"/>
      <protection locked="0"/>
    </xf>
    <xf numFmtId="167" fontId="7" fillId="3" borderId="16" xfId="3" applyNumberFormat="1" applyFont="1" applyFill="1" applyBorder="1" applyProtection="1">
      <protection locked="0"/>
    </xf>
    <xf numFmtId="44" fontId="7" fillId="3" borderId="2" xfId="1" applyFont="1" applyFill="1" applyBorder="1" applyProtection="1">
      <protection locked="0"/>
    </xf>
    <xf numFmtId="0" fontId="7" fillId="3" borderId="14" xfId="0" applyFont="1" applyFill="1" applyBorder="1" applyAlignment="1" applyProtection="1">
      <alignment vertical="center" wrapText="1"/>
      <protection locked="0"/>
    </xf>
    <xf numFmtId="167" fontId="7" fillId="3" borderId="14" xfId="3" applyNumberFormat="1" applyFont="1" applyFill="1" applyBorder="1" applyProtection="1">
      <protection locked="0"/>
    </xf>
    <xf numFmtId="44" fontId="7" fillId="4" borderId="14" xfId="1" applyFont="1" applyFill="1" applyBorder="1" applyProtection="1">
      <protection locked="0"/>
    </xf>
    <xf numFmtId="167" fontId="7" fillId="3" borderId="40" xfId="3" applyNumberFormat="1" applyFont="1" applyFill="1" applyBorder="1" applyProtection="1">
      <protection locked="0"/>
    </xf>
    <xf numFmtId="167" fontId="7" fillId="3" borderId="32" xfId="3" applyNumberFormat="1" applyFont="1" applyFill="1" applyBorder="1" applyProtection="1">
      <protection locked="0"/>
    </xf>
    <xf numFmtId="44" fontId="7" fillId="3" borderId="24" xfId="1" applyFont="1" applyFill="1" applyBorder="1" applyProtection="1">
      <protection locked="0"/>
    </xf>
    <xf numFmtId="0" fontId="14" fillId="4" borderId="20" xfId="3" applyFont="1" applyFill="1" applyBorder="1" applyProtection="1">
      <protection locked="0"/>
    </xf>
    <xf numFmtId="49" fontId="14" fillId="4" borderId="56" xfId="3" applyNumberFormat="1" applyFont="1" applyFill="1" applyBorder="1" applyAlignment="1" applyProtection="1">
      <alignment horizontal="center"/>
      <protection locked="0"/>
    </xf>
    <xf numFmtId="0" fontId="17" fillId="4" borderId="10" xfId="3" applyFont="1" applyFill="1" applyBorder="1" applyProtection="1">
      <protection locked="0"/>
    </xf>
    <xf numFmtId="10" fontId="14" fillId="4" borderId="20" xfId="2" applyNumberFormat="1" applyFont="1" applyFill="1" applyBorder="1" applyAlignment="1" applyProtection="1">
      <alignment horizontal="center"/>
      <protection locked="0"/>
    </xf>
    <xf numFmtId="10" fontId="42" fillId="4" borderId="61" xfId="2" applyNumberFormat="1" applyFont="1" applyFill="1" applyBorder="1" applyAlignment="1" applyProtection="1">
      <alignment horizontal="center"/>
      <protection locked="0"/>
    </xf>
    <xf numFmtId="10" fontId="14" fillId="4" borderId="19" xfId="2" applyNumberFormat="1" applyFont="1" applyFill="1" applyBorder="1" applyAlignment="1" applyProtection="1">
      <alignment horizontal="center"/>
      <protection locked="0"/>
    </xf>
    <xf numFmtId="44" fontId="7" fillId="3" borderId="14" xfId="1" applyFont="1" applyFill="1" applyBorder="1" applyProtection="1">
      <protection locked="0"/>
    </xf>
    <xf numFmtId="44" fontId="7" fillId="3" borderId="40" xfId="1" applyFont="1" applyFill="1" applyBorder="1" applyProtection="1">
      <protection locked="0"/>
    </xf>
    <xf numFmtId="167" fontId="14" fillId="2" borderId="7" xfId="3" applyNumberFormat="1" applyFont="1" applyFill="1" applyBorder="1" applyProtection="1">
      <protection locked="0"/>
    </xf>
    <xf numFmtId="167" fontId="14" fillId="2" borderId="17" xfId="3" applyNumberFormat="1" applyFont="1" applyFill="1" applyBorder="1" applyProtection="1">
      <protection locked="0"/>
    </xf>
    <xf numFmtId="44" fontId="14" fillId="2" borderId="8" xfId="1" applyFont="1" applyFill="1" applyBorder="1" applyProtection="1">
      <protection locked="0"/>
    </xf>
    <xf numFmtId="168" fontId="19" fillId="0" borderId="0" xfId="3" applyNumberFormat="1" applyFont="1" applyFill="1" applyProtection="1">
      <protection locked="0"/>
    </xf>
    <xf numFmtId="44" fontId="2" fillId="4" borderId="13" xfId="1" applyFont="1" applyFill="1" applyBorder="1" applyProtection="1">
      <protection locked="0"/>
    </xf>
    <xf numFmtId="44" fontId="2" fillId="0" borderId="13" xfId="1" applyFont="1" applyBorder="1" applyProtection="1">
      <protection locked="0"/>
    </xf>
    <xf numFmtId="44" fontId="0" fillId="0" borderId="6" xfId="1" applyFont="1" applyFill="1" applyBorder="1" applyProtection="1">
      <protection locked="0"/>
    </xf>
    <xf numFmtId="44" fontId="1" fillId="0" borderId="0" xfId="1" applyFont="1" applyFill="1" applyBorder="1" applyProtection="1">
      <protection locked="0"/>
    </xf>
    <xf numFmtId="0" fontId="14" fillId="2" borderId="6" xfId="3" applyFont="1" applyFill="1" applyBorder="1" applyAlignment="1" applyProtection="1">
      <alignment horizontal="left"/>
      <protection locked="0"/>
    </xf>
    <xf numFmtId="0" fontId="14" fillId="2" borderId="0" xfId="3" applyFont="1" applyFill="1" applyBorder="1" applyAlignment="1" applyProtection="1">
      <alignment horizontal="right"/>
      <protection locked="0"/>
    </xf>
    <xf numFmtId="0" fontId="13" fillId="2" borderId="7" xfId="3" applyFont="1" applyFill="1" applyBorder="1" applyAlignment="1" applyProtection="1">
      <alignment horizontal="left"/>
      <protection locked="0"/>
    </xf>
    <xf numFmtId="0" fontId="13" fillId="2" borderId="1" xfId="3" applyFont="1" applyFill="1" applyBorder="1" applyAlignment="1" applyProtection="1">
      <alignment horizontal="right"/>
      <protection locked="0"/>
    </xf>
    <xf numFmtId="44" fontId="7" fillId="4" borderId="7" xfId="1" applyFont="1" applyFill="1" applyBorder="1" applyProtection="1"/>
    <xf numFmtId="44" fontId="42" fillId="4" borderId="59" xfId="1" applyFont="1" applyFill="1" applyBorder="1" applyProtection="1"/>
    <xf numFmtId="44" fontId="7" fillId="4" borderId="2" xfId="1" applyFont="1" applyFill="1" applyBorder="1" applyProtection="1"/>
    <xf numFmtId="44" fontId="0" fillId="4" borderId="14" xfId="1" applyFont="1" applyFill="1" applyBorder="1" applyProtection="1"/>
    <xf numFmtId="44" fontId="7" fillId="4" borderId="14" xfId="1" applyFont="1" applyFill="1" applyBorder="1" applyProtection="1"/>
    <xf numFmtId="44" fontId="7" fillId="4" borderId="40" xfId="1" applyFont="1" applyFill="1" applyBorder="1" applyProtection="1"/>
    <xf numFmtId="44" fontId="42" fillId="4" borderId="60" xfId="1" applyFont="1" applyFill="1" applyBorder="1" applyProtection="1"/>
    <xf numFmtId="44" fontId="7" fillId="4" borderId="24" xfId="1" applyFont="1" applyFill="1" applyBorder="1" applyProtection="1"/>
    <xf numFmtId="10" fontId="14" fillId="4" borderId="40" xfId="2" applyNumberFormat="1" applyFont="1" applyFill="1" applyBorder="1" applyAlignment="1" applyProtection="1">
      <alignment horizontal="center"/>
    </xf>
    <xf numFmtId="10" fontId="14" fillId="4" borderId="24" xfId="2" applyNumberFormat="1" applyFont="1" applyFill="1" applyBorder="1" applyAlignment="1" applyProtection="1">
      <alignment horizontal="center"/>
    </xf>
    <xf numFmtId="44" fontId="14" fillId="2" borderId="8" xfId="1" applyFont="1" applyFill="1" applyBorder="1" applyProtection="1"/>
    <xf numFmtId="10" fontId="0" fillId="4" borderId="13" xfId="0" applyNumberFormat="1" applyFont="1" applyFill="1" applyBorder="1" applyProtection="1"/>
    <xf numFmtId="0" fontId="19" fillId="0" borderId="0" xfId="3" applyFont="1" applyFill="1" applyProtection="1"/>
    <xf numFmtId="0" fontId="0" fillId="4" borderId="14" xfId="0" applyFont="1" applyFill="1" applyBorder="1" applyAlignment="1" applyProtection="1">
      <alignment horizontal="left"/>
    </xf>
    <xf numFmtId="0" fontId="17" fillId="8" borderId="4" xfId="3" applyFont="1" applyFill="1" applyBorder="1" applyProtection="1">
      <protection locked="0"/>
    </xf>
    <xf numFmtId="0" fontId="17" fillId="8" borderId="18" xfId="3" applyFont="1" applyFill="1" applyBorder="1" applyProtection="1">
      <protection locked="0"/>
    </xf>
    <xf numFmtId="0" fontId="34" fillId="8" borderId="7" xfId="0" applyFont="1" applyFill="1" applyBorder="1" applyProtection="1">
      <protection locked="0"/>
    </xf>
    <xf numFmtId="0" fontId="17" fillId="8" borderId="1" xfId="3" applyFont="1" applyFill="1" applyBorder="1" applyProtection="1">
      <protection locked="0"/>
    </xf>
    <xf numFmtId="0" fontId="17" fillId="8" borderId="0" xfId="3" applyFont="1" applyFill="1" applyBorder="1" applyProtection="1">
      <protection locked="0"/>
    </xf>
    <xf numFmtId="0" fontId="17" fillId="8" borderId="11" xfId="3" applyFont="1" applyFill="1" applyBorder="1" applyProtection="1">
      <protection locked="0"/>
    </xf>
    <xf numFmtId="0" fontId="0" fillId="0" borderId="0" xfId="0" applyAlignment="1" applyProtection="1">
      <protection locked="0"/>
    </xf>
    <xf numFmtId="167" fontId="15" fillId="2" borderId="13" xfId="3" applyNumberFormat="1" applyFont="1" applyFill="1" applyBorder="1" applyAlignment="1" applyProtection="1">
      <alignment horizontal="center" wrapText="1"/>
      <protection locked="0"/>
    </xf>
    <xf numFmtId="49" fontId="14" fillId="8" borderId="7" xfId="3" applyNumberFormat="1" applyFont="1" applyFill="1" applyBorder="1" applyAlignment="1" applyProtection="1">
      <alignment horizontal="left"/>
      <protection locked="0"/>
    </xf>
    <xf numFmtId="0" fontId="7" fillId="8" borderId="1" xfId="3" applyFont="1" applyFill="1" applyBorder="1" applyProtection="1">
      <protection locked="0"/>
    </xf>
    <xf numFmtId="167" fontId="15" fillId="2" borderId="8" xfId="3" applyNumberFormat="1" applyFont="1" applyFill="1" applyBorder="1" applyAlignment="1" applyProtection="1">
      <alignment horizontal="center" wrapText="1"/>
      <protection locked="0"/>
    </xf>
    <xf numFmtId="0" fontId="7" fillId="4" borderId="40" xfId="3" applyFont="1" applyFill="1" applyBorder="1" applyProtection="1">
      <protection locked="0"/>
    </xf>
    <xf numFmtId="49" fontId="14" fillId="4" borderId="32" xfId="3" applyNumberFormat="1" applyFont="1" applyFill="1" applyBorder="1" applyAlignment="1" applyProtection="1">
      <alignment horizontal="center"/>
      <protection locked="0"/>
    </xf>
    <xf numFmtId="0" fontId="14" fillId="3" borderId="14" xfId="0" applyFont="1" applyFill="1" applyBorder="1" applyAlignment="1" applyProtection="1">
      <alignment vertical="center"/>
      <protection locked="0"/>
    </xf>
    <xf numFmtId="44" fontId="27" fillId="4" borderId="2" xfId="1" applyFont="1" applyFill="1" applyBorder="1" applyProtection="1">
      <protection locked="0"/>
    </xf>
    <xf numFmtId="44" fontId="17" fillId="0" borderId="0" xfId="1" applyFont="1" applyFill="1" applyProtection="1">
      <protection locked="0"/>
    </xf>
    <xf numFmtId="167" fontId="37" fillId="3" borderId="16" xfId="3" applyNumberFormat="1" applyFont="1" applyFill="1" applyBorder="1" applyProtection="1">
      <protection locked="0"/>
    </xf>
    <xf numFmtId="167" fontId="14" fillId="2" borderId="14" xfId="3" applyNumberFormat="1" applyFont="1" applyFill="1" applyBorder="1" applyProtection="1">
      <protection locked="0"/>
    </xf>
    <xf numFmtId="167" fontId="14" fillId="2" borderId="16" xfId="3" applyNumberFormat="1" applyFont="1" applyFill="1" applyBorder="1" applyProtection="1">
      <protection locked="0"/>
    </xf>
    <xf numFmtId="0" fontId="7" fillId="4" borderId="6" xfId="3" applyFont="1" applyFill="1" applyBorder="1" applyProtection="1">
      <protection locked="0"/>
    </xf>
    <xf numFmtId="0" fontId="7" fillId="4" borderId="0" xfId="3" applyFont="1" applyFill="1" applyBorder="1" applyProtection="1">
      <protection locked="0"/>
    </xf>
    <xf numFmtId="44" fontId="27" fillId="4" borderId="0" xfId="1" applyFont="1" applyFill="1" applyBorder="1" applyProtection="1">
      <protection locked="0"/>
    </xf>
    <xf numFmtId="0" fontId="7" fillId="4" borderId="14" xfId="3" applyFont="1" applyFill="1" applyBorder="1" applyProtection="1">
      <protection locked="0"/>
    </xf>
    <xf numFmtId="0" fontId="7" fillId="4" borderId="15" xfId="3" applyFont="1" applyFill="1" applyBorder="1" applyProtection="1">
      <protection locked="0"/>
    </xf>
    <xf numFmtId="0" fontId="1" fillId="4" borderId="14" xfId="3" applyFont="1" applyFill="1" applyBorder="1" applyProtection="1">
      <protection locked="0"/>
    </xf>
    <xf numFmtId="10" fontId="15" fillId="4" borderId="24" xfId="2" applyNumberFormat="1" applyFont="1" applyFill="1" applyBorder="1" applyAlignment="1" applyProtection="1">
      <alignment horizontal="center"/>
    </xf>
    <xf numFmtId="44" fontId="27" fillId="4" borderId="2" xfId="1" applyFont="1" applyFill="1" applyBorder="1" applyProtection="1"/>
    <xf numFmtId="44" fontId="15" fillId="2" borderId="2" xfId="1" applyFont="1" applyFill="1" applyBorder="1" applyProtection="1"/>
    <xf numFmtId="10" fontId="7" fillId="4" borderId="2" xfId="1" applyNumberFormat="1" applyFont="1" applyFill="1" applyBorder="1" applyProtection="1"/>
    <xf numFmtId="10" fontId="1" fillId="4" borderId="2" xfId="3" applyNumberFormat="1" applyFont="1" applyFill="1" applyBorder="1" applyProtection="1"/>
    <xf numFmtId="44" fontId="15" fillId="2" borderId="8" xfId="1" applyFont="1" applyFill="1" applyBorder="1" applyProtection="1"/>
    <xf numFmtId="44" fontId="48" fillId="2" borderId="2" xfId="1" applyFont="1" applyFill="1" applyBorder="1" applyProtection="1"/>
    <xf numFmtId="0" fontId="9" fillId="0" borderId="0" xfId="0" applyFont="1" applyProtection="1"/>
    <xf numFmtId="0" fontId="53" fillId="4" borderId="0" xfId="0" applyFont="1" applyFill="1" applyBorder="1" applyProtection="1"/>
    <xf numFmtId="0" fontId="2" fillId="4" borderId="11" xfId="0" applyFont="1" applyFill="1" applyBorder="1" applyAlignment="1" applyProtection="1">
      <alignment horizontal="right"/>
    </xf>
    <xf numFmtId="0" fontId="33" fillId="4" borderId="4" xfId="0" applyFont="1" applyFill="1" applyBorder="1" applyProtection="1">
      <protection locked="0"/>
    </xf>
    <xf numFmtId="0" fontId="34" fillId="4" borderId="1" xfId="0" applyFont="1" applyFill="1" applyBorder="1" applyProtection="1">
      <protection locked="0"/>
    </xf>
    <xf numFmtId="0" fontId="0" fillId="4" borderId="15" xfId="0" applyFont="1" applyFill="1" applyBorder="1" applyAlignment="1" applyProtection="1">
      <alignment horizontal="left"/>
      <protection locked="0"/>
    </xf>
    <xf numFmtId="0" fontId="20" fillId="4" borderId="6" xfId="0" applyFont="1" applyFill="1" applyBorder="1" applyProtection="1">
      <protection locked="0"/>
    </xf>
    <xf numFmtId="0" fontId="20" fillId="4" borderId="0" xfId="0" applyFont="1" applyFill="1" applyBorder="1" applyProtection="1">
      <protection locked="0"/>
    </xf>
    <xf numFmtId="0" fontId="14" fillId="2" borderId="14" xfId="0" applyFont="1" applyFill="1" applyBorder="1" applyAlignment="1" applyProtection="1">
      <alignment vertical="top" wrapText="1"/>
      <protection locked="0"/>
    </xf>
    <xf numFmtId="167" fontId="14" fillId="2" borderId="2" xfId="3" applyNumberFormat="1" applyFont="1" applyFill="1" applyBorder="1" applyAlignment="1" applyProtection="1">
      <alignment horizontal="center" vertical="top" wrapText="1"/>
      <protection locked="0"/>
    </xf>
    <xf numFmtId="0" fontId="0" fillId="2" borderId="15" xfId="0" applyFont="1" applyFill="1" applyBorder="1" applyAlignment="1" applyProtection="1">
      <alignment horizontal="left"/>
      <protection locked="0"/>
    </xf>
    <xf numFmtId="0" fontId="0" fillId="2" borderId="2" xfId="0" applyFont="1" applyFill="1" applyBorder="1" applyAlignment="1" applyProtection="1">
      <alignment horizontal="left"/>
      <protection locked="0"/>
    </xf>
    <xf numFmtId="167" fontId="14" fillId="2" borderId="14" xfId="3" applyNumberFormat="1" applyFont="1" applyFill="1" applyBorder="1" applyAlignment="1" applyProtection="1">
      <alignment horizontal="center" wrapText="1"/>
      <protection locked="0"/>
    </xf>
    <xf numFmtId="167" fontId="14" fillId="2" borderId="2" xfId="3" applyNumberFormat="1" applyFont="1" applyFill="1" applyBorder="1" applyAlignment="1" applyProtection="1">
      <alignment horizontal="center" wrapText="1"/>
      <protection locked="0"/>
    </xf>
    <xf numFmtId="14" fontId="0" fillId="3" borderId="15" xfId="0" applyNumberFormat="1" applyFont="1" applyFill="1" applyBorder="1" applyProtection="1">
      <protection locked="0"/>
    </xf>
    <xf numFmtId="44" fontId="0" fillId="3" borderId="2" xfId="1" applyNumberFormat="1" applyFont="1" applyFill="1" applyBorder="1" applyProtection="1">
      <protection locked="0"/>
    </xf>
    <xf numFmtId="44" fontId="0" fillId="3" borderId="16" xfId="1" applyFont="1" applyFill="1" applyBorder="1" applyProtection="1">
      <protection locked="0"/>
    </xf>
    <xf numFmtId="44" fontId="0" fillId="3" borderId="16" xfId="1" applyNumberFormat="1" applyFont="1" applyFill="1" applyBorder="1" applyProtection="1">
      <protection locked="0"/>
    </xf>
    <xf numFmtId="0" fontId="3" fillId="2" borderId="7" xfId="0" applyFont="1" applyFill="1" applyBorder="1" applyProtection="1">
      <protection locked="0"/>
    </xf>
    <xf numFmtId="0" fontId="3" fillId="2" borderId="1" xfId="0" applyFont="1" applyFill="1" applyBorder="1" applyProtection="1">
      <protection locked="0"/>
    </xf>
    <xf numFmtId="44" fontId="7" fillId="4" borderId="5" xfId="1" applyFont="1" applyFill="1" applyBorder="1" applyProtection="1">
      <protection locked="0"/>
    </xf>
    <xf numFmtId="10" fontId="14" fillId="2" borderId="15" xfId="0" applyNumberFormat="1" applyFont="1" applyFill="1" applyBorder="1" applyProtection="1">
      <protection locked="0"/>
    </xf>
    <xf numFmtId="44" fontId="14" fillId="2" borderId="16" xfId="1" applyFont="1" applyFill="1" applyBorder="1" applyProtection="1">
      <protection locked="0"/>
    </xf>
    <xf numFmtId="44" fontId="7" fillId="3" borderId="12" xfId="0" applyNumberFormat="1" applyFont="1" applyFill="1" applyBorder="1" applyProtection="1">
      <protection locked="0"/>
    </xf>
    <xf numFmtId="9" fontId="7" fillId="4" borderId="4" xfId="2" applyFont="1" applyFill="1" applyBorder="1" applyProtection="1">
      <protection locked="0"/>
    </xf>
    <xf numFmtId="0" fontId="7" fillId="4" borderId="13" xfId="0" applyFont="1" applyFill="1" applyBorder="1" applyProtection="1">
      <protection locked="0"/>
    </xf>
    <xf numFmtId="170" fontId="7" fillId="4" borderId="5" xfId="1" applyNumberFormat="1" applyFont="1" applyFill="1" applyBorder="1" applyProtection="1">
      <protection locked="0"/>
    </xf>
    <xf numFmtId="9" fontId="7" fillId="4" borderId="0" xfId="2" applyFont="1" applyFill="1" applyBorder="1" applyAlignment="1" applyProtection="1">
      <alignment horizontal="right"/>
      <protection locked="0"/>
    </xf>
    <xf numFmtId="0" fontId="7" fillId="4" borderId="8" xfId="0" applyFont="1" applyFill="1" applyBorder="1" applyProtection="1">
      <protection locked="0"/>
    </xf>
    <xf numFmtId="170" fontId="7" fillId="4" borderId="8" xfId="1" applyNumberFormat="1" applyFont="1" applyFill="1" applyBorder="1" applyProtection="1">
      <protection locked="0"/>
    </xf>
    <xf numFmtId="0" fontId="7" fillId="4" borderId="6" xfId="0" applyFont="1" applyFill="1" applyBorder="1" applyAlignment="1" applyProtection="1">
      <alignment horizontal="right"/>
      <protection locked="0"/>
    </xf>
    <xf numFmtId="10" fontId="7" fillId="3" borderId="2" xfId="2" applyNumberFormat="1" applyFont="1" applyFill="1" applyBorder="1" applyProtection="1">
      <protection locked="0"/>
    </xf>
    <xf numFmtId="0" fontId="3" fillId="2" borderId="14" xfId="0" applyFont="1" applyFill="1" applyBorder="1" applyProtection="1">
      <protection locked="0"/>
    </xf>
    <xf numFmtId="0" fontId="3" fillId="2" borderId="15" xfId="0" applyFont="1" applyFill="1" applyBorder="1" applyProtection="1">
      <protection locked="0"/>
    </xf>
    <xf numFmtId="10" fontId="0" fillId="2" borderId="15" xfId="0" applyNumberFormat="1" applyFont="1" applyFill="1" applyBorder="1" applyProtection="1">
      <protection locked="0"/>
    </xf>
    <xf numFmtId="0" fontId="0" fillId="0" borderId="6" xfId="0" applyFont="1" applyBorder="1" applyProtection="1">
      <protection locked="0"/>
    </xf>
    <xf numFmtId="10" fontId="0" fillId="0" borderId="0" xfId="0" applyNumberFormat="1" applyFont="1" applyBorder="1" applyProtection="1">
      <protection locked="0"/>
    </xf>
    <xf numFmtId="44" fontId="0" fillId="0" borderId="5" xfId="1" applyFont="1" applyBorder="1" applyProtection="1">
      <protection locked="0"/>
    </xf>
    <xf numFmtId="44" fontId="3" fillId="4" borderId="5" xfId="1" applyFont="1" applyFill="1" applyBorder="1" applyProtection="1">
      <protection locked="0"/>
    </xf>
    <xf numFmtId="44" fontId="0" fillId="0" borderId="0" xfId="0" applyNumberFormat="1" applyFont="1" applyProtection="1">
      <protection locked="0"/>
    </xf>
    <xf numFmtId="0" fontId="0" fillId="4" borderId="7" xfId="0" applyFont="1" applyFill="1" applyBorder="1" applyProtection="1">
      <protection locked="0"/>
    </xf>
    <xf numFmtId="10" fontId="0" fillId="4" borderId="1" xfId="0" applyNumberFormat="1" applyFont="1" applyFill="1" applyBorder="1" applyProtection="1">
      <protection locked="0"/>
    </xf>
    <xf numFmtId="44" fontId="3" fillId="4" borderId="8" xfId="1" applyFont="1" applyFill="1" applyBorder="1" applyProtection="1">
      <protection locked="0"/>
    </xf>
    <xf numFmtId="10" fontId="3" fillId="2" borderId="15" xfId="0" applyNumberFormat="1" applyFont="1" applyFill="1" applyBorder="1" applyProtection="1">
      <protection locked="0"/>
    </xf>
    <xf numFmtId="44" fontId="3" fillId="2" borderId="15" xfId="1" applyFont="1" applyFill="1" applyBorder="1" applyProtection="1">
      <protection locked="0"/>
    </xf>
    <xf numFmtId="44" fontId="3" fillId="2" borderId="16" xfId="1" applyFont="1" applyFill="1" applyBorder="1" applyProtection="1">
      <protection locked="0"/>
    </xf>
    <xf numFmtId="0" fontId="7" fillId="4" borderId="2" xfId="0" applyFont="1" applyFill="1" applyBorder="1" applyAlignment="1" applyProtection="1">
      <alignment horizontal="right"/>
      <protection locked="0"/>
    </xf>
    <xf numFmtId="44" fontId="0" fillId="4" borderId="2" xfId="1" applyFont="1" applyFill="1" applyBorder="1" applyAlignment="1" applyProtection="1">
      <alignment horizontal="right"/>
      <protection locked="0"/>
    </xf>
    <xf numFmtId="44" fontId="1" fillId="3" borderId="2" xfId="1" applyFont="1" applyFill="1" applyBorder="1" applyProtection="1">
      <protection locked="0"/>
    </xf>
    <xf numFmtId="10" fontId="0" fillId="4" borderId="0" xfId="0" applyNumberFormat="1" applyFont="1" applyFill="1" applyBorder="1" applyProtection="1">
      <protection locked="0"/>
    </xf>
    <xf numFmtId="44" fontId="3" fillId="0" borderId="5" xfId="1" applyFont="1" applyBorder="1" applyProtection="1">
      <protection locked="0"/>
    </xf>
    <xf numFmtId="44" fontId="0" fillId="4" borderId="13" xfId="1" applyFont="1" applyFill="1" applyBorder="1" applyProtection="1">
      <protection locked="0"/>
    </xf>
    <xf numFmtId="44" fontId="1" fillId="4" borderId="13" xfId="1" applyFont="1" applyFill="1" applyBorder="1" applyProtection="1">
      <protection locked="0"/>
    </xf>
    <xf numFmtId="0" fontId="0" fillId="4" borderId="5" xfId="0" applyFont="1" applyFill="1" applyBorder="1" applyProtection="1">
      <protection locked="0"/>
    </xf>
    <xf numFmtId="0" fontId="0" fillId="0" borderId="5" xfId="0" applyFont="1" applyBorder="1" applyProtection="1">
      <protection locked="0"/>
    </xf>
    <xf numFmtId="0" fontId="16" fillId="2" borderId="16" xfId="0" applyFont="1" applyFill="1" applyBorder="1" applyProtection="1">
      <protection locked="0"/>
    </xf>
    <xf numFmtId="44" fontId="0" fillId="0" borderId="0" xfId="1" applyFont="1" applyProtection="1">
      <protection locked="0"/>
    </xf>
    <xf numFmtId="44" fontId="3" fillId="2" borderId="8" xfId="1" applyFont="1" applyFill="1" applyBorder="1" applyProtection="1"/>
    <xf numFmtId="44" fontId="3" fillId="2" borderId="17" xfId="1" applyFont="1" applyFill="1" applyBorder="1" applyProtection="1"/>
    <xf numFmtId="10" fontId="19" fillId="4" borderId="5" xfId="2" applyNumberFormat="1" applyFont="1" applyFill="1" applyBorder="1" applyAlignment="1" applyProtection="1">
      <alignment vertical="top"/>
    </xf>
    <xf numFmtId="10" fontId="7" fillId="2" borderId="15" xfId="0" applyNumberFormat="1" applyFont="1" applyFill="1" applyBorder="1" applyProtection="1"/>
    <xf numFmtId="44" fontId="7" fillId="4" borderId="5" xfId="0" applyNumberFormat="1" applyFont="1" applyFill="1" applyBorder="1" applyProtection="1"/>
    <xf numFmtId="10" fontId="7" fillId="4" borderId="2" xfId="2" applyNumberFormat="1" applyFont="1" applyFill="1" applyBorder="1" applyAlignment="1" applyProtection="1">
      <alignment horizontal="right"/>
    </xf>
    <xf numFmtId="44" fontId="7" fillId="0" borderId="2" xfId="0" applyNumberFormat="1" applyFont="1" applyFill="1" applyBorder="1" applyProtection="1"/>
    <xf numFmtId="44" fontId="7" fillId="0" borderId="5" xfId="1" applyFont="1" applyFill="1" applyBorder="1" applyProtection="1"/>
    <xf numFmtId="170" fontId="7" fillId="4" borderId="5" xfId="1" applyNumberFormat="1" applyFont="1" applyFill="1" applyBorder="1" applyProtection="1"/>
    <xf numFmtId="170" fontId="7" fillId="4" borderId="2" xfId="1" applyNumberFormat="1" applyFont="1" applyFill="1" applyBorder="1" applyProtection="1"/>
    <xf numFmtId="170" fontId="3" fillId="2" borderId="2" xfId="1" applyNumberFormat="1" applyFont="1" applyFill="1" applyBorder="1" applyProtection="1"/>
    <xf numFmtId="44" fontId="0" fillId="2" borderId="2" xfId="1" applyFont="1" applyFill="1" applyBorder="1" applyProtection="1"/>
    <xf numFmtId="10" fontId="0" fillId="2" borderId="15" xfId="0" applyNumberFormat="1" applyFont="1" applyFill="1" applyBorder="1" applyProtection="1"/>
    <xf numFmtId="0" fontId="0" fillId="4" borderId="5" xfId="0" applyFont="1" applyFill="1" applyBorder="1" applyProtection="1"/>
    <xf numFmtId="44" fontId="4" fillId="2" borderId="2" xfId="1" applyFont="1" applyFill="1" applyBorder="1" applyProtection="1"/>
    <xf numFmtId="0" fontId="34" fillId="4" borderId="6" xfId="0" applyFont="1" applyFill="1" applyBorder="1" applyProtection="1">
      <protection locked="0"/>
    </xf>
    <xf numFmtId="0" fontId="8" fillId="4" borderId="6" xfId="0" applyFont="1" applyFill="1" applyBorder="1" applyProtection="1">
      <protection locked="0"/>
    </xf>
    <xf numFmtId="0" fontId="8" fillId="4" borderId="0" xfId="0" applyFont="1" applyFill="1" applyBorder="1" applyProtection="1">
      <protection locked="0"/>
    </xf>
    <xf numFmtId="0" fontId="0" fillId="4" borderId="36" xfId="0" applyFill="1" applyBorder="1" applyProtection="1">
      <protection locked="0"/>
    </xf>
    <xf numFmtId="0" fontId="0" fillId="4" borderId="43" xfId="0" applyFill="1" applyBorder="1" applyProtection="1">
      <protection locked="0"/>
    </xf>
    <xf numFmtId="0" fontId="12" fillId="2" borderId="35" xfId="0" applyFont="1" applyFill="1" applyBorder="1" applyProtection="1">
      <protection locked="0"/>
    </xf>
    <xf numFmtId="0" fontId="3" fillId="4" borderId="0" xfId="0" applyFont="1" applyFill="1" applyBorder="1" applyProtection="1">
      <protection locked="0"/>
    </xf>
    <xf numFmtId="44" fontId="3" fillId="4" borderId="0" xfId="1" applyFont="1" applyFill="1" applyBorder="1" applyProtection="1">
      <protection locked="0"/>
    </xf>
    <xf numFmtId="0" fontId="4" fillId="4" borderId="14" xfId="0" applyFont="1" applyFill="1" applyBorder="1" applyProtection="1">
      <protection locked="0"/>
    </xf>
    <xf numFmtId="0" fontId="12" fillId="2" borderId="35" xfId="0" applyFont="1" applyFill="1" applyBorder="1" applyAlignment="1" applyProtection="1">
      <alignment horizontal="right"/>
      <protection locked="0"/>
    </xf>
    <xf numFmtId="0" fontId="3" fillId="4" borderId="6" xfId="0" applyFont="1" applyFill="1" applyBorder="1" applyProtection="1">
      <protection locked="0"/>
    </xf>
    <xf numFmtId="44" fontId="3" fillId="4" borderId="36" xfId="1" applyFont="1" applyFill="1" applyBorder="1" applyProtection="1">
      <protection locked="0"/>
    </xf>
    <xf numFmtId="44" fontId="0" fillId="4" borderId="36" xfId="1" applyFont="1" applyFill="1" applyBorder="1" applyProtection="1">
      <protection locked="0"/>
    </xf>
    <xf numFmtId="44" fontId="0" fillId="4" borderId="43" xfId="1" applyFont="1" applyFill="1" applyBorder="1" applyProtection="1">
      <protection locked="0"/>
    </xf>
    <xf numFmtId="44" fontId="1" fillId="4" borderId="90" xfId="1" applyFont="1" applyFill="1" applyBorder="1" applyProtection="1">
      <protection locked="0"/>
    </xf>
    <xf numFmtId="44" fontId="3" fillId="3" borderId="31" xfId="1" applyFont="1" applyFill="1" applyBorder="1" applyProtection="1">
      <protection locked="0"/>
    </xf>
    <xf numFmtId="44" fontId="0" fillId="0" borderId="48" xfId="1" applyFont="1" applyBorder="1" applyProtection="1">
      <protection locked="0"/>
    </xf>
    <xf numFmtId="0" fontId="13" fillId="2" borderId="20" xfId="0" applyFont="1" applyFill="1" applyBorder="1" applyProtection="1">
      <protection locked="0"/>
    </xf>
    <xf numFmtId="0" fontId="10" fillId="2" borderId="10" xfId="0" applyFont="1" applyFill="1" applyBorder="1" applyProtection="1">
      <protection locked="0"/>
    </xf>
    <xf numFmtId="44" fontId="10" fillId="2" borderId="10" xfId="1" applyFont="1" applyFill="1" applyBorder="1" applyProtection="1">
      <protection locked="0"/>
    </xf>
    <xf numFmtId="44" fontId="11" fillId="2" borderId="39" xfId="1" applyFont="1" applyFill="1" applyBorder="1" applyProtection="1">
      <protection locked="0"/>
    </xf>
    <xf numFmtId="44" fontId="11" fillId="2" borderId="47" xfId="1" applyFont="1" applyFill="1" applyBorder="1" applyProtection="1">
      <protection locked="0"/>
    </xf>
    <xf numFmtId="0" fontId="4" fillId="4" borderId="15" xfId="0" applyFont="1" applyFill="1" applyBorder="1" applyProtection="1">
      <protection locked="0"/>
    </xf>
    <xf numFmtId="44" fontId="4" fillId="4" borderId="15" xfId="1" applyFont="1" applyFill="1" applyBorder="1" applyProtection="1">
      <protection locked="0"/>
    </xf>
    <xf numFmtId="0" fontId="0" fillId="2" borderId="10" xfId="0" applyFill="1" applyBorder="1" applyProtection="1">
      <protection locked="0"/>
    </xf>
    <xf numFmtId="0" fontId="0" fillId="0" borderId="31" xfId="0" applyBorder="1" applyProtection="1">
      <protection locked="0"/>
    </xf>
    <xf numFmtId="44" fontId="4" fillId="0" borderId="31" xfId="0" applyNumberFormat="1" applyFont="1" applyBorder="1" applyProtection="1">
      <protection locked="0"/>
    </xf>
    <xf numFmtId="44" fontId="0" fillId="0" borderId="0" xfId="0" applyNumberFormat="1" applyProtection="1">
      <protection locked="0"/>
    </xf>
    <xf numFmtId="0" fontId="0" fillId="0" borderId="6" xfId="0" applyBorder="1" applyProtection="1">
      <protection locked="0"/>
    </xf>
    <xf numFmtId="0" fontId="0" fillId="0" borderId="0" xfId="0" applyBorder="1" applyProtection="1">
      <protection locked="0"/>
    </xf>
    <xf numFmtId="0" fontId="0" fillId="0" borderId="36" xfId="0" applyBorder="1" applyProtection="1">
      <protection locked="0"/>
    </xf>
    <xf numFmtId="0" fontId="0" fillId="0" borderId="43" xfId="0" applyBorder="1" applyProtection="1">
      <protection locked="0"/>
    </xf>
    <xf numFmtId="0" fontId="33" fillId="2" borderId="26" xfId="0" applyFont="1" applyFill="1" applyBorder="1" applyProtection="1">
      <protection locked="0"/>
    </xf>
    <xf numFmtId="0" fontId="33" fillId="2" borderId="28" xfId="0" applyFont="1" applyFill="1" applyBorder="1" applyProtection="1">
      <protection locked="0"/>
    </xf>
    <xf numFmtId="44" fontId="33" fillId="2" borderId="28" xfId="1" applyFont="1" applyFill="1" applyBorder="1" applyProtection="1">
      <protection locked="0"/>
    </xf>
    <xf numFmtId="44" fontId="33" fillId="2" borderId="23" xfId="1" applyFont="1" applyFill="1" applyBorder="1" applyProtection="1">
      <protection locked="0"/>
    </xf>
    <xf numFmtId="44" fontId="33" fillId="2" borderId="49" xfId="1" applyFont="1" applyFill="1" applyBorder="1" applyProtection="1">
      <protection locked="0"/>
    </xf>
    <xf numFmtId="0" fontId="4" fillId="2" borderId="20" xfId="0" applyFont="1" applyFill="1" applyBorder="1" applyProtection="1">
      <protection locked="0"/>
    </xf>
    <xf numFmtId="44" fontId="0" fillId="2" borderId="39" xfId="0" applyNumberFormat="1" applyFill="1" applyBorder="1" applyProtection="1">
      <protection locked="0"/>
    </xf>
    <xf numFmtId="44" fontId="0" fillId="2" borderId="50" xfId="1" applyFont="1" applyFill="1" applyBorder="1" applyProtection="1">
      <protection locked="0"/>
    </xf>
    <xf numFmtId="0" fontId="4" fillId="2" borderId="26" xfId="0" applyFont="1" applyFill="1" applyBorder="1" applyProtection="1">
      <protection locked="0"/>
    </xf>
    <xf numFmtId="0" fontId="4" fillId="2" borderId="28" xfId="0" applyFont="1" applyFill="1" applyBorder="1" applyProtection="1">
      <protection locked="0"/>
    </xf>
    <xf numFmtId="44" fontId="4" fillId="2" borderId="28" xfId="1" applyFont="1" applyFill="1" applyBorder="1" applyProtection="1">
      <protection locked="0"/>
    </xf>
    <xf numFmtId="44" fontId="4" fillId="2" borderId="23" xfId="1" applyFont="1" applyFill="1" applyBorder="1" applyProtection="1">
      <protection locked="0"/>
    </xf>
    <xf numFmtId="0" fontId="0" fillId="4" borderId="0" xfId="0" applyFill="1" applyProtection="1">
      <protection locked="0"/>
    </xf>
    <xf numFmtId="0" fontId="19" fillId="4" borderId="14" xfId="0" applyFont="1" applyFill="1" applyBorder="1" applyProtection="1">
      <protection locked="0"/>
    </xf>
    <xf numFmtId="0" fontId="49" fillId="4" borderId="15" xfId="0" applyFont="1" applyFill="1" applyBorder="1" applyProtection="1">
      <protection locked="0"/>
    </xf>
    <xf numFmtId="44" fontId="49" fillId="4" borderId="15" xfId="1" applyFont="1" applyFill="1" applyBorder="1" applyProtection="1">
      <protection locked="0"/>
    </xf>
    <xf numFmtId="0" fontId="9" fillId="4" borderId="6" xfId="0" applyFont="1" applyFill="1" applyBorder="1" applyProtection="1"/>
    <xf numFmtId="44" fontId="4" fillId="4" borderId="35" xfId="1" applyFont="1" applyFill="1" applyBorder="1" applyProtection="1"/>
    <xf numFmtId="44" fontId="4" fillId="4" borderId="42" xfId="1" applyFont="1" applyFill="1" applyBorder="1" applyProtection="1"/>
    <xf numFmtId="44" fontId="13" fillId="2" borderId="39" xfId="1" applyFont="1" applyFill="1" applyBorder="1" applyProtection="1"/>
    <xf numFmtId="44" fontId="14" fillId="5" borderId="36" xfId="1" applyFont="1" applyFill="1" applyBorder="1" applyAlignment="1" applyProtection="1">
      <alignment horizontal="right"/>
    </xf>
    <xf numFmtId="44" fontId="14" fillId="5" borderId="43" xfId="1" applyFont="1" applyFill="1" applyBorder="1" applyAlignment="1" applyProtection="1">
      <alignment horizontal="right"/>
    </xf>
    <xf numFmtId="44" fontId="3" fillId="5" borderId="36" xfId="1" applyFont="1" applyFill="1" applyBorder="1" applyAlignment="1" applyProtection="1">
      <alignment horizontal="right"/>
    </xf>
    <xf numFmtId="44" fontId="3" fillId="5" borderId="43" xfId="1" applyFont="1" applyFill="1" applyBorder="1" applyAlignment="1" applyProtection="1">
      <alignment horizontal="right"/>
    </xf>
    <xf numFmtId="44" fontId="3" fillId="5" borderId="31" xfId="1" applyFont="1" applyFill="1" applyBorder="1" applyAlignment="1" applyProtection="1">
      <alignment horizontal="right"/>
    </xf>
    <xf numFmtId="44" fontId="3" fillId="5" borderId="45" xfId="1" applyFont="1" applyFill="1" applyBorder="1" applyAlignment="1" applyProtection="1">
      <alignment horizontal="right"/>
    </xf>
    <xf numFmtId="44" fontId="13" fillId="2" borderId="35" xfId="1" applyFont="1" applyFill="1" applyBorder="1" applyAlignment="1" applyProtection="1">
      <alignment horizontal="right" wrapText="1"/>
    </xf>
    <xf numFmtId="44" fontId="13" fillId="2" borderId="42" xfId="1" applyFont="1" applyFill="1" applyBorder="1" applyAlignment="1" applyProtection="1">
      <alignment horizontal="right" wrapText="1"/>
    </xf>
    <xf numFmtId="10" fontId="14" fillId="2" borderId="35" xfId="0" applyNumberFormat="1" applyFont="1" applyFill="1" applyBorder="1" applyAlignment="1" applyProtection="1">
      <alignment horizontal="right" wrapText="1"/>
    </xf>
    <xf numFmtId="10" fontId="14" fillId="2" borderId="42" xfId="0" applyNumberFormat="1" applyFont="1" applyFill="1" applyBorder="1" applyAlignment="1" applyProtection="1">
      <alignment horizontal="right" wrapText="1"/>
    </xf>
    <xf numFmtId="44" fontId="3" fillId="4" borderId="37" xfId="0" applyNumberFormat="1" applyFont="1" applyFill="1" applyBorder="1" applyAlignment="1" applyProtection="1">
      <alignment horizontal="right"/>
    </xf>
    <xf numFmtId="44" fontId="3" fillId="4" borderId="44" xfId="0" applyNumberFormat="1" applyFont="1" applyFill="1" applyBorder="1" applyAlignment="1" applyProtection="1">
      <alignment horizontal="right"/>
    </xf>
    <xf numFmtId="44" fontId="3" fillId="4" borderId="36" xfId="1" applyFont="1" applyFill="1" applyBorder="1" applyAlignment="1" applyProtection="1">
      <alignment horizontal="right"/>
    </xf>
    <xf numFmtId="44" fontId="3" fillId="4" borderId="43" xfId="1" applyFont="1" applyFill="1" applyBorder="1" applyAlignment="1" applyProtection="1">
      <alignment horizontal="right"/>
    </xf>
    <xf numFmtId="0" fontId="13" fillId="2" borderId="35" xfId="0" applyFont="1" applyFill="1" applyBorder="1" applyAlignment="1" applyProtection="1">
      <alignment horizontal="center"/>
    </xf>
    <xf numFmtId="0" fontId="13" fillId="2" borderId="35" xfId="0" applyFont="1" applyFill="1" applyBorder="1" applyAlignment="1" applyProtection="1">
      <alignment horizontal="center" wrapText="1"/>
    </xf>
    <xf numFmtId="0" fontId="13" fillId="2" borderId="42" xfId="0" applyFont="1" applyFill="1" applyBorder="1" applyAlignment="1" applyProtection="1">
      <alignment horizontal="center"/>
    </xf>
    <xf numFmtId="0" fontId="13" fillId="2" borderId="14" xfId="0" applyFont="1" applyFill="1" applyBorder="1" applyProtection="1"/>
    <xf numFmtId="0" fontId="12" fillId="2" borderId="15" xfId="0" applyFont="1" applyFill="1" applyBorder="1" applyProtection="1"/>
    <xf numFmtId="0" fontId="4" fillId="4" borderId="3" xfId="0" applyFont="1" applyFill="1" applyBorder="1" applyProtection="1"/>
    <xf numFmtId="0" fontId="0" fillId="4" borderId="4" xfId="0" applyFill="1" applyBorder="1" applyProtection="1"/>
    <xf numFmtId="0" fontId="10" fillId="4" borderId="4" xfId="0" applyFont="1" applyFill="1" applyBorder="1" applyProtection="1"/>
    <xf numFmtId="0" fontId="4" fillId="4" borderId="6" xfId="0" applyFont="1" applyFill="1" applyBorder="1" applyProtection="1"/>
    <xf numFmtId="0" fontId="3" fillId="4" borderId="0" xfId="0" applyFont="1" applyFill="1" applyBorder="1" applyProtection="1"/>
    <xf numFmtId="0" fontId="0" fillId="4" borderId="0" xfId="0" applyFill="1" applyBorder="1" applyProtection="1"/>
    <xf numFmtId="0" fontId="10" fillId="4" borderId="0" xfId="0" applyFont="1" applyFill="1" applyBorder="1" applyProtection="1"/>
    <xf numFmtId="44" fontId="3" fillId="4" borderId="0" xfId="1" applyFont="1" applyFill="1" applyBorder="1" applyProtection="1"/>
    <xf numFmtId="0" fontId="4" fillId="4" borderId="7" xfId="0" applyFont="1" applyFill="1" applyBorder="1" applyProtection="1"/>
    <xf numFmtId="0" fontId="3" fillId="4" borderId="1" xfId="0" applyFont="1" applyFill="1" applyBorder="1" applyProtection="1"/>
    <xf numFmtId="0" fontId="0" fillId="4" borderId="1" xfId="0" applyFill="1" applyBorder="1" applyProtection="1"/>
    <xf numFmtId="0" fontId="10" fillId="4" borderId="1" xfId="0" applyFont="1" applyFill="1" applyBorder="1" applyProtection="1"/>
    <xf numFmtId="44" fontId="3" fillId="4" borderId="1" xfId="1" applyFont="1" applyFill="1" applyBorder="1" applyProtection="1"/>
    <xf numFmtId="0" fontId="3" fillId="4" borderId="75" xfId="0" applyFont="1" applyFill="1" applyBorder="1" applyProtection="1"/>
    <xf numFmtId="0" fontId="4" fillId="4" borderId="14" xfId="0" applyFont="1" applyFill="1" applyBorder="1" applyProtection="1"/>
    <xf numFmtId="0" fontId="3" fillId="4" borderId="15" xfId="0" applyFont="1" applyFill="1" applyBorder="1" applyProtection="1"/>
    <xf numFmtId="0" fontId="0" fillId="4" borderId="15" xfId="0" applyFill="1" applyBorder="1" applyProtection="1"/>
    <xf numFmtId="0" fontId="10" fillId="4" borderId="15" xfId="0" applyFont="1" applyFill="1" applyBorder="1" applyProtection="1"/>
    <xf numFmtId="44" fontId="3" fillId="4" borderId="15" xfId="1" applyFont="1" applyFill="1" applyBorder="1" applyProtection="1"/>
    <xf numFmtId="0" fontId="3" fillId="4" borderId="57" xfId="0" applyFont="1" applyFill="1" applyBorder="1" applyProtection="1"/>
    <xf numFmtId="0" fontId="13" fillId="5" borderId="6" xfId="0" applyFont="1" applyFill="1" applyBorder="1" applyProtection="1"/>
    <xf numFmtId="0" fontId="7" fillId="5" borderId="0" xfId="0" applyFont="1" applyFill="1" applyBorder="1" applyProtection="1"/>
    <xf numFmtId="0" fontId="14" fillId="5" borderId="0" xfId="0" applyFont="1" applyFill="1" applyBorder="1" applyProtection="1"/>
    <xf numFmtId="0" fontId="0" fillId="5" borderId="0" xfId="0" applyFill="1" applyBorder="1" applyProtection="1"/>
    <xf numFmtId="0" fontId="10" fillId="5" borderId="0" xfId="0" applyFont="1" applyFill="1" applyBorder="1" applyProtection="1"/>
    <xf numFmtId="0" fontId="3" fillId="5" borderId="0" xfId="0" applyFont="1" applyFill="1" applyBorder="1" applyProtection="1"/>
    <xf numFmtId="44" fontId="3" fillId="5" borderId="0" xfId="1" applyFont="1" applyFill="1" applyBorder="1" applyProtection="1"/>
    <xf numFmtId="0" fontId="3" fillId="4" borderId="6" xfId="0" applyFont="1" applyFill="1" applyBorder="1" applyProtection="1"/>
    <xf numFmtId="9" fontId="0" fillId="0" borderId="1" xfId="0" applyNumberFormat="1" applyBorder="1" applyProtection="1"/>
    <xf numFmtId="44" fontId="0" fillId="0" borderId="1" xfId="0" applyNumberFormat="1" applyBorder="1" applyProtection="1"/>
    <xf numFmtId="44" fontId="33" fillId="2" borderId="23" xfId="1" applyFont="1" applyFill="1" applyBorder="1" applyProtection="1"/>
    <xf numFmtId="44" fontId="4" fillId="2" borderId="39" xfId="0" applyNumberFormat="1" applyFont="1" applyFill="1" applyBorder="1" applyProtection="1"/>
    <xf numFmtId="44" fontId="4" fillId="2" borderId="49" xfId="1" applyFont="1" applyFill="1" applyBorder="1" applyProtection="1"/>
    <xf numFmtId="2" fontId="22" fillId="0" borderId="2" xfId="0" applyNumberFormat="1" applyFont="1" applyBorder="1" applyAlignment="1" applyProtection="1">
      <alignment horizontal="center"/>
    </xf>
    <xf numFmtId="0" fontId="44" fillId="4" borderId="4" xfId="0" applyFont="1" applyFill="1" applyBorder="1" applyProtection="1">
      <protection locked="0"/>
    </xf>
    <xf numFmtId="0" fontId="7" fillId="4" borderId="18" xfId="0" applyFont="1" applyFill="1" applyBorder="1" applyProtection="1">
      <protection locked="0"/>
    </xf>
    <xf numFmtId="0" fontId="44" fillId="4" borderId="0" xfId="0" applyFont="1" applyFill="1" applyBorder="1" applyProtection="1">
      <protection locked="0"/>
    </xf>
    <xf numFmtId="0" fontId="13" fillId="4" borderId="27" xfId="0" applyFont="1" applyFill="1" applyBorder="1" applyAlignment="1" applyProtection="1">
      <alignment horizontal="left"/>
      <protection locked="0"/>
    </xf>
    <xf numFmtId="0" fontId="7" fillId="3" borderId="40" xfId="0" applyFont="1" applyFill="1" applyBorder="1" applyAlignment="1" applyProtection="1">
      <alignment horizontal="right"/>
      <protection locked="0"/>
    </xf>
    <xf numFmtId="0" fontId="7" fillId="3" borderId="32" xfId="0" applyFont="1" applyFill="1" applyBorder="1" applyAlignment="1" applyProtection="1">
      <alignment horizontal="right"/>
      <protection locked="0"/>
    </xf>
    <xf numFmtId="0" fontId="7" fillId="4" borderId="15" xfId="0" applyFont="1" applyFill="1" applyBorder="1" applyProtection="1">
      <protection locked="0"/>
    </xf>
    <xf numFmtId="0" fontId="7" fillId="0" borderId="15" xfId="0" applyFont="1" applyBorder="1" applyProtection="1">
      <protection locked="0"/>
    </xf>
    <xf numFmtId="0" fontId="14" fillId="4" borderId="0" xfId="0" applyFont="1" applyFill="1" applyBorder="1" applyProtection="1">
      <protection locked="0"/>
    </xf>
    <xf numFmtId="0" fontId="13" fillId="4" borderId="9" xfId="0" applyFont="1" applyFill="1" applyBorder="1" applyProtection="1">
      <protection locked="0"/>
    </xf>
    <xf numFmtId="0" fontId="7" fillId="4" borderId="9" xfId="0" applyFont="1" applyFill="1" applyBorder="1" applyProtection="1">
      <protection locked="0"/>
    </xf>
    <xf numFmtId="0" fontId="7" fillId="4" borderId="79" xfId="0" applyFont="1" applyFill="1" applyBorder="1" applyProtection="1">
      <protection locked="0"/>
    </xf>
    <xf numFmtId="0" fontId="14" fillId="8" borderId="10" xfId="0" quotePrefix="1" applyFont="1" applyFill="1" applyBorder="1" applyProtection="1">
      <protection locked="0"/>
    </xf>
    <xf numFmtId="0" fontId="7" fillId="8" borderId="10" xfId="0" applyFont="1" applyFill="1" applyBorder="1" applyProtection="1">
      <protection locked="0"/>
    </xf>
    <xf numFmtId="0" fontId="7" fillId="8" borderId="82" xfId="0" applyFont="1" applyFill="1" applyBorder="1" applyProtection="1">
      <protection locked="0"/>
    </xf>
    <xf numFmtId="0" fontId="7" fillId="4" borderId="0" xfId="0" applyFont="1" applyFill="1" applyBorder="1" applyAlignment="1" applyProtection="1">
      <alignment horizontal="center"/>
      <protection locked="0"/>
    </xf>
    <xf numFmtId="0" fontId="7" fillId="4" borderId="81" xfId="0" applyFont="1" applyFill="1" applyBorder="1" applyProtection="1">
      <protection locked="0"/>
    </xf>
    <xf numFmtId="44" fontId="13" fillId="0" borderId="2" xfId="0" applyNumberFormat="1" applyFont="1" applyFill="1" applyBorder="1" applyProtection="1">
      <protection locked="0"/>
    </xf>
    <xf numFmtId="1" fontId="7" fillId="0" borderId="2" xfId="0" applyNumberFormat="1" applyFont="1" applyFill="1" applyBorder="1" applyAlignment="1" applyProtection="1">
      <alignment horizontal="center" wrapText="1"/>
      <protection locked="0"/>
    </xf>
    <xf numFmtId="0" fontId="19" fillId="0" borderId="0" xfId="0" applyFont="1" applyProtection="1">
      <protection locked="0"/>
    </xf>
    <xf numFmtId="0" fontId="14" fillId="4" borderId="54" xfId="0" applyFont="1" applyFill="1" applyBorder="1" applyProtection="1">
      <protection locked="0"/>
    </xf>
    <xf numFmtId="0" fontId="7" fillId="4" borderId="10" xfId="0" applyFont="1" applyFill="1" applyBorder="1" applyAlignment="1" applyProtection="1">
      <alignment horizontal="right"/>
      <protection locked="0"/>
    </xf>
    <xf numFmtId="0" fontId="0" fillId="4" borderId="28" xfId="0" applyFill="1" applyBorder="1" applyAlignment="1" applyProtection="1">
      <alignment horizontal="left"/>
      <protection locked="0"/>
    </xf>
    <xf numFmtId="0" fontId="14" fillId="4" borderId="1" xfId="0" applyFont="1" applyFill="1" applyBorder="1" applyProtection="1">
      <protection locked="0"/>
    </xf>
    <xf numFmtId="0" fontId="7" fillId="0" borderId="0" xfId="0" applyFont="1" applyFill="1" applyBorder="1" applyProtection="1">
      <protection locked="0"/>
    </xf>
    <xf numFmtId="0" fontId="7" fillId="0" borderId="0" xfId="0" applyFont="1" applyFill="1" applyBorder="1" applyAlignment="1" applyProtection="1">
      <alignment horizontal="right"/>
      <protection locked="0"/>
    </xf>
    <xf numFmtId="0" fontId="12" fillId="0" borderId="0" xfId="0" applyFont="1" applyFill="1" applyBorder="1" applyAlignment="1" applyProtection="1">
      <alignment horizontal="center"/>
      <protection locked="0"/>
    </xf>
    <xf numFmtId="1" fontId="13" fillId="0" borderId="0" xfId="0" applyNumberFormat="1" applyFont="1" applyFill="1" applyBorder="1" applyAlignment="1" applyProtection="1">
      <alignment horizontal="center"/>
      <protection locked="0"/>
    </xf>
    <xf numFmtId="0" fontId="19" fillId="0" borderId="0" xfId="0" applyFont="1" applyBorder="1" applyProtection="1">
      <protection locked="0"/>
    </xf>
    <xf numFmtId="44" fontId="12" fillId="0" borderId="0" xfId="0" applyNumberFormat="1" applyFont="1" applyFill="1" applyBorder="1" applyAlignment="1" applyProtection="1">
      <alignment horizontal="right"/>
      <protection locked="0"/>
    </xf>
    <xf numFmtId="0" fontId="13" fillId="2" borderId="87" xfId="0" applyFont="1" applyFill="1" applyBorder="1" applyProtection="1">
      <protection locked="0"/>
    </xf>
    <xf numFmtId="44" fontId="12" fillId="0" borderId="0" xfId="0" applyNumberFormat="1" applyFont="1" applyFill="1" applyBorder="1" applyAlignment="1" applyProtection="1">
      <alignment horizontal="right" vertical="center"/>
      <protection locked="0"/>
    </xf>
    <xf numFmtId="0" fontId="7" fillId="2" borderId="88" xfId="0" applyFont="1" applyFill="1" applyBorder="1" applyProtection="1">
      <protection locked="0"/>
    </xf>
    <xf numFmtId="0" fontId="7" fillId="0" borderId="0" xfId="0" applyFont="1" applyFill="1" applyBorder="1" applyAlignment="1" applyProtection="1">
      <alignment horizontal="right" vertical="center"/>
      <protection locked="0"/>
    </xf>
    <xf numFmtId="44" fontId="13" fillId="0" borderId="0" xfId="0"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right" vertical="center"/>
      <protection locked="0"/>
    </xf>
    <xf numFmtId="0" fontId="19" fillId="0" borderId="0" xfId="0" applyFont="1" applyFill="1" applyBorder="1" applyProtection="1">
      <protection locked="0"/>
    </xf>
    <xf numFmtId="0" fontId="19" fillId="0" borderId="0" xfId="0" applyFont="1" applyFill="1" applyProtection="1">
      <protection locked="0"/>
    </xf>
    <xf numFmtId="0" fontId="7" fillId="0" borderId="0" xfId="0" applyFont="1" applyFill="1" applyProtection="1">
      <protection locked="0"/>
    </xf>
    <xf numFmtId="0" fontId="0" fillId="0" borderId="0" xfId="0" quotePrefix="1" applyProtection="1">
      <protection locked="0"/>
    </xf>
    <xf numFmtId="1" fontId="19" fillId="0" borderId="0" xfId="0" applyNumberFormat="1" applyFont="1" applyAlignment="1" applyProtection="1">
      <alignment horizontal="right"/>
    </xf>
    <xf numFmtId="0" fontId="19" fillId="0" borderId="0" xfId="0" applyFont="1" applyProtection="1"/>
    <xf numFmtId="2" fontId="19" fillId="0" borderId="0" xfId="0" applyNumberFormat="1" applyFont="1" applyAlignment="1" applyProtection="1">
      <alignment horizontal="right"/>
    </xf>
    <xf numFmtId="1" fontId="19" fillId="0" borderId="0" xfId="0" applyNumberFormat="1" applyFont="1" applyAlignment="1" applyProtection="1">
      <alignment horizontal="right" vertical="top"/>
    </xf>
    <xf numFmtId="0" fontId="19" fillId="0" borderId="0" xfId="0" applyFont="1" applyAlignment="1" applyProtection="1">
      <alignment vertical="top"/>
    </xf>
    <xf numFmtId="0" fontId="14" fillId="8" borderId="82" xfId="0" applyFont="1" applyFill="1" applyBorder="1" applyAlignment="1" applyProtection="1">
      <alignment horizontal="right" vertical="center"/>
    </xf>
    <xf numFmtId="0" fontId="3" fillId="0" borderId="0" xfId="0" applyFont="1" applyProtection="1"/>
    <xf numFmtId="10" fontId="7" fillId="6" borderId="2" xfId="2" applyNumberFormat="1" applyFont="1" applyFill="1" applyBorder="1" applyProtection="1">
      <protection locked="0"/>
    </xf>
    <xf numFmtId="10" fontId="13" fillId="9" borderId="23" xfId="2" applyNumberFormat="1" applyFont="1" applyFill="1" applyBorder="1" applyProtection="1"/>
    <xf numFmtId="0" fontId="2" fillId="4" borderId="9" xfId="0" applyFont="1" applyFill="1" applyBorder="1" applyProtection="1"/>
    <xf numFmtId="0" fontId="19" fillId="0" borderId="0" xfId="3" applyFont="1" applyFill="1" applyProtection="1">
      <protection locked="0"/>
    </xf>
    <xf numFmtId="0" fontId="9" fillId="4" borderId="26" xfId="0" applyFont="1" applyFill="1" applyBorder="1" applyAlignment="1" applyProtection="1">
      <alignment horizontal="left"/>
    </xf>
    <xf numFmtId="22" fontId="7" fillId="8" borderId="92" xfId="0" quotePrefix="1" applyNumberFormat="1" applyFont="1" applyFill="1" applyBorder="1" applyAlignment="1" applyProtection="1"/>
    <xf numFmtId="0" fontId="14" fillId="8" borderId="93" xfId="0" applyFont="1" applyFill="1" applyBorder="1" applyAlignment="1" applyProtection="1">
      <alignment horizontal="center" vertical="center"/>
    </xf>
    <xf numFmtId="0" fontId="7" fillId="8" borderId="92" xfId="0" applyFont="1" applyFill="1" applyBorder="1" applyAlignment="1" applyProtection="1">
      <alignment horizontal="center" vertical="center"/>
    </xf>
    <xf numFmtId="0" fontId="7" fillId="4" borderId="51" xfId="0" applyFont="1" applyFill="1" applyBorder="1" applyAlignment="1" applyProtection="1">
      <alignment vertical="center" wrapText="1"/>
    </xf>
    <xf numFmtId="10" fontId="13" fillId="4" borderId="23" xfId="2" applyNumberFormat="1" applyFont="1" applyFill="1" applyBorder="1" applyAlignment="1" applyProtection="1">
      <alignment horizontal="center" vertical="center"/>
    </xf>
    <xf numFmtId="0" fontId="7" fillId="4" borderId="92" xfId="0" applyFont="1" applyFill="1" applyBorder="1" applyAlignment="1" applyProtection="1">
      <alignment vertical="center" wrapText="1"/>
    </xf>
    <xf numFmtId="10" fontId="13" fillId="4" borderId="39" xfId="2" applyNumberFormat="1" applyFont="1" applyFill="1" applyBorder="1" applyAlignment="1" applyProtection="1">
      <alignment horizontal="center" vertical="center"/>
    </xf>
    <xf numFmtId="0" fontId="7" fillId="4" borderId="23" xfId="0" applyFont="1" applyFill="1" applyBorder="1" applyAlignment="1" applyProtection="1">
      <alignment vertical="center" wrapText="1"/>
    </xf>
    <xf numFmtId="10" fontId="13" fillId="4" borderId="86" xfId="2" applyNumberFormat="1" applyFont="1" applyFill="1" applyBorder="1" applyAlignment="1" applyProtection="1">
      <alignment horizontal="center" vertical="center"/>
    </xf>
    <xf numFmtId="0" fontId="7" fillId="4" borderId="39" xfId="0" applyFont="1" applyFill="1" applyBorder="1" applyAlignment="1" applyProtection="1">
      <alignment vertical="center" wrapText="1"/>
    </xf>
    <xf numFmtId="10" fontId="13" fillId="4" borderId="82" xfId="2" applyNumberFormat="1" applyFont="1" applyFill="1" applyBorder="1" applyAlignment="1" applyProtection="1">
      <alignment horizontal="center" vertical="center"/>
    </xf>
    <xf numFmtId="0" fontId="0" fillId="4" borderId="79" xfId="0" applyFont="1" applyFill="1" applyBorder="1" applyProtection="1"/>
    <xf numFmtId="0" fontId="0" fillId="4" borderId="0" xfId="0" applyFont="1" applyFill="1" applyBorder="1" applyProtection="1"/>
    <xf numFmtId="0" fontId="0" fillId="4" borderId="81" xfId="0" applyFont="1" applyFill="1" applyBorder="1" applyProtection="1"/>
    <xf numFmtId="10" fontId="0" fillId="0" borderId="0" xfId="2" applyNumberFormat="1" applyFont="1" applyProtection="1">
      <protection locked="0"/>
    </xf>
    <xf numFmtId="0" fontId="3" fillId="7" borderId="2" xfId="0" applyFont="1" applyFill="1" applyBorder="1" applyAlignment="1" applyProtection="1">
      <alignment wrapText="1"/>
      <protection locked="0"/>
    </xf>
    <xf numFmtId="0" fontId="0" fillId="7" borderId="2" xfId="0" applyFill="1" applyBorder="1" applyProtection="1">
      <protection locked="0"/>
    </xf>
    <xf numFmtId="0" fontId="0" fillId="4" borderId="2" xfId="0" applyFill="1" applyBorder="1" applyAlignment="1" applyProtection="1">
      <alignment horizontal="left"/>
      <protection locked="0"/>
    </xf>
    <xf numFmtId="10" fontId="0" fillId="4" borderId="2" xfId="2" applyNumberFormat="1" applyFont="1" applyFill="1" applyBorder="1" applyAlignment="1" applyProtection="1">
      <alignment horizontal="center"/>
      <protection locked="0"/>
    </xf>
    <xf numFmtId="10" fontId="0" fillId="0" borderId="2" xfId="2" applyNumberFormat="1" applyFont="1" applyFill="1" applyBorder="1" applyAlignment="1" applyProtection="1">
      <alignment horizontal="center"/>
      <protection locked="0"/>
    </xf>
    <xf numFmtId="10" fontId="0" fillId="3" borderId="2" xfId="2" applyNumberFormat="1" applyFont="1" applyFill="1" applyBorder="1" applyAlignment="1" applyProtection="1">
      <alignment horizontal="center"/>
      <protection locked="0"/>
    </xf>
    <xf numFmtId="0" fontId="0" fillId="4" borderId="7" xfId="0" applyFill="1" applyBorder="1" applyProtection="1">
      <protection locked="0"/>
    </xf>
    <xf numFmtId="10" fontId="0" fillId="4" borderId="1" xfId="2" applyNumberFormat="1" applyFont="1" applyFill="1" applyBorder="1" applyProtection="1">
      <protection locked="0"/>
    </xf>
    <xf numFmtId="0" fontId="0" fillId="4" borderId="1" xfId="0" applyFill="1" applyBorder="1" applyProtection="1">
      <protection locked="0"/>
    </xf>
    <xf numFmtId="0" fontId="0" fillId="4" borderId="17" xfId="0" applyFill="1" applyBorder="1" applyProtection="1">
      <protection locked="0"/>
    </xf>
    <xf numFmtId="44" fontId="7" fillId="4" borderId="2" xfId="1" applyNumberFormat="1" applyFont="1" applyFill="1" applyBorder="1" applyProtection="1"/>
    <xf numFmtId="44" fontId="1" fillId="4" borderId="2" xfId="1" applyNumberFormat="1" applyFont="1" applyFill="1" applyBorder="1" applyProtection="1"/>
    <xf numFmtId="44" fontId="3" fillId="4" borderId="23" xfId="0" applyNumberFormat="1" applyFont="1" applyFill="1" applyBorder="1" applyProtection="1"/>
    <xf numFmtId="0" fontId="17" fillId="4" borderId="16" xfId="3" applyFont="1" applyFill="1" applyBorder="1" applyProtection="1"/>
    <xf numFmtId="0" fontId="9" fillId="0" borderId="0" xfId="0" applyFont="1" applyProtection="1">
      <protection locked="0"/>
    </xf>
    <xf numFmtId="0" fontId="50" fillId="0" borderId="0" xfId="0" applyFont="1" applyAlignment="1" applyProtection="1">
      <alignment horizontal="right"/>
    </xf>
    <xf numFmtId="10" fontId="0" fillId="4" borderId="15" xfId="0" applyNumberFormat="1" applyFont="1" applyFill="1" applyBorder="1" applyProtection="1">
      <protection locked="0"/>
    </xf>
    <xf numFmtId="44" fontId="7" fillId="0" borderId="0" xfId="0" applyNumberFormat="1" applyFont="1" applyProtection="1">
      <protection locked="0"/>
    </xf>
    <xf numFmtId="0" fontId="7" fillId="8" borderId="26" xfId="0" applyFont="1" applyFill="1" applyBorder="1" applyAlignment="1" applyProtection="1">
      <alignment horizontal="left" wrapText="1"/>
      <protection locked="0"/>
    </xf>
    <xf numFmtId="0" fontId="7" fillId="0" borderId="28" xfId="0" applyFont="1" applyBorder="1" applyAlignment="1" applyProtection="1">
      <protection locked="0"/>
    </xf>
    <xf numFmtId="0" fontId="7" fillId="0" borderId="41" xfId="0" applyFont="1" applyBorder="1" applyAlignment="1" applyProtection="1">
      <protection locked="0"/>
    </xf>
    <xf numFmtId="44" fontId="13" fillId="4" borderId="2" xfId="0" applyNumberFormat="1" applyFont="1" applyFill="1" applyBorder="1" applyAlignment="1" applyProtection="1">
      <alignment horizontal="right" vertical="center"/>
    </xf>
    <xf numFmtId="0" fontId="7" fillId="0" borderId="13" xfId="0" applyFont="1" applyBorder="1" applyAlignment="1" applyProtection="1">
      <alignment horizontal="right" vertical="center"/>
    </xf>
    <xf numFmtId="44" fontId="13" fillId="2" borderId="2" xfId="0" applyNumberFormat="1" applyFont="1" applyFill="1" applyBorder="1" applyAlignment="1" applyProtection="1">
      <alignment horizontal="right" vertical="center"/>
    </xf>
    <xf numFmtId="0" fontId="7" fillId="2" borderId="13" xfId="0" applyFont="1" applyFill="1" applyBorder="1" applyAlignment="1" applyProtection="1">
      <alignment horizontal="right" vertical="center"/>
    </xf>
    <xf numFmtId="44" fontId="12" fillId="4" borderId="2" xfId="0" applyNumberFormat="1" applyFont="1" applyFill="1" applyBorder="1" applyAlignment="1" applyProtection="1">
      <alignment horizontal="right" vertical="center"/>
    </xf>
    <xf numFmtId="44" fontId="13" fillId="4" borderId="70" xfId="0" applyNumberFormat="1" applyFont="1" applyFill="1" applyBorder="1" applyAlignment="1" applyProtection="1">
      <alignment horizontal="right" vertical="center"/>
    </xf>
    <xf numFmtId="0" fontId="7" fillId="0" borderId="72" xfId="0" applyFont="1" applyBorder="1" applyAlignment="1" applyProtection="1">
      <alignment horizontal="right" vertical="center"/>
    </xf>
    <xf numFmtId="44" fontId="13" fillId="2" borderId="71" xfId="0" applyNumberFormat="1" applyFont="1" applyFill="1" applyBorder="1" applyAlignment="1" applyProtection="1">
      <alignment horizontal="right" vertical="center"/>
    </xf>
    <xf numFmtId="0" fontId="14" fillId="2" borderId="73" xfId="0" applyFont="1" applyFill="1" applyBorder="1" applyAlignment="1" applyProtection="1">
      <alignment horizontal="right" vertical="center"/>
    </xf>
    <xf numFmtId="44" fontId="13" fillId="2" borderId="65" xfId="0" applyNumberFormat="1" applyFont="1" applyFill="1" applyBorder="1" applyAlignment="1" applyProtection="1">
      <alignment horizontal="right" vertical="center"/>
    </xf>
    <xf numFmtId="0" fontId="7" fillId="2" borderId="68" xfId="0" applyFont="1" applyFill="1" applyBorder="1" applyAlignment="1" applyProtection="1">
      <alignment horizontal="right" vertical="center"/>
    </xf>
    <xf numFmtId="44" fontId="13" fillId="4" borderId="65" xfId="0" applyNumberFormat="1" applyFont="1" applyFill="1" applyBorder="1" applyAlignment="1" applyProtection="1">
      <alignment horizontal="right" vertical="center"/>
    </xf>
    <xf numFmtId="0" fontId="7" fillId="0" borderId="68" xfId="0" applyFont="1" applyBorder="1" applyAlignment="1" applyProtection="1">
      <alignment horizontal="right" vertical="center"/>
    </xf>
    <xf numFmtId="44" fontId="12" fillId="4" borderId="66" xfId="0" applyNumberFormat="1" applyFont="1" applyFill="1" applyBorder="1" applyAlignment="1" applyProtection="1">
      <alignment horizontal="right" vertical="center"/>
    </xf>
    <xf numFmtId="0" fontId="7" fillId="0" borderId="69" xfId="0" applyFont="1" applyBorder="1" applyAlignment="1" applyProtection="1">
      <alignment horizontal="right" vertical="center"/>
    </xf>
    <xf numFmtId="0" fontId="7" fillId="2" borderId="2" xfId="0" applyFont="1" applyFill="1" applyBorder="1" applyAlignment="1" applyProtection="1">
      <alignment horizontal="right" vertical="center"/>
    </xf>
    <xf numFmtId="0" fontId="7" fillId="0" borderId="2" xfId="0" applyFont="1" applyBorder="1" applyAlignment="1" applyProtection="1">
      <alignment horizontal="right" vertical="center"/>
    </xf>
    <xf numFmtId="0" fontId="7" fillId="8" borderId="26" xfId="0" applyFont="1" applyFill="1" applyBorder="1" applyAlignment="1" applyProtection="1">
      <alignment wrapText="1"/>
    </xf>
    <xf numFmtId="0" fontId="7" fillId="8" borderId="28" xfId="0" applyFont="1" applyFill="1" applyBorder="1" applyAlignment="1" applyProtection="1"/>
    <xf numFmtId="0" fontId="7" fillId="8" borderId="41" xfId="0" applyFont="1" applyFill="1" applyBorder="1" applyAlignment="1" applyProtection="1"/>
    <xf numFmtId="0" fontId="21" fillId="2" borderId="33" xfId="0" applyFont="1" applyFill="1" applyBorder="1" applyAlignment="1" applyProtection="1">
      <alignment wrapText="1"/>
      <protection locked="0"/>
    </xf>
    <xf numFmtId="0" fontId="14" fillId="0" borderId="29" xfId="0" applyFont="1" applyBorder="1" applyAlignment="1" applyProtection="1">
      <protection locked="0"/>
    </xf>
    <xf numFmtId="0" fontId="14" fillId="0" borderId="77" xfId="0" applyFont="1" applyBorder="1" applyAlignment="1" applyProtection="1">
      <protection locked="0"/>
    </xf>
    <xf numFmtId="0" fontId="36" fillId="4" borderId="40" xfId="0" applyFont="1" applyFill="1" applyBorder="1" applyAlignment="1" applyProtection="1">
      <alignment wrapText="1"/>
      <protection locked="0"/>
    </xf>
    <xf numFmtId="0" fontId="7" fillId="0" borderId="27" xfId="0" applyFont="1" applyBorder="1" applyAlignment="1" applyProtection="1">
      <protection locked="0"/>
    </xf>
    <xf numFmtId="0" fontId="7" fillId="0" borderId="32" xfId="0" applyFont="1" applyBorder="1" applyAlignment="1" applyProtection="1">
      <protection locked="0"/>
    </xf>
    <xf numFmtId="0" fontId="7" fillId="0" borderId="28" xfId="0" applyFont="1" applyBorder="1" applyAlignment="1" applyProtection="1"/>
    <xf numFmtId="0" fontId="7" fillId="0" borderId="41" xfId="0" applyFont="1" applyBorder="1" applyAlignment="1" applyProtection="1"/>
    <xf numFmtId="0" fontId="52" fillId="3" borderId="38" xfId="0" applyFont="1" applyFill="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14" fillId="0" borderId="91" xfId="0" applyFont="1" applyFill="1" applyBorder="1" applyAlignment="1" applyProtection="1">
      <alignment horizontal="center" vertical="center"/>
    </xf>
    <xf numFmtId="0" fontId="14" fillId="0" borderId="93" xfId="0" applyFont="1" applyFill="1" applyBorder="1" applyAlignment="1" applyProtection="1">
      <alignment horizontal="center" vertical="center"/>
    </xf>
    <xf numFmtId="0" fontId="7" fillId="0" borderId="93" xfId="0" applyFont="1" applyFill="1" applyBorder="1" applyAlignment="1" applyProtection="1">
      <alignment horizontal="center" vertical="center"/>
    </xf>
    <xf numFmtId="0" fontId="7" fillId="0" borderId="92" xfId="0" applyFont="1" applyBorder="1" applyAlignment="1" applyProtection="1">
      <alignment horizontal="center" vertical="center"/>
    </xf>
    <xf numFmtId="170" fontId="4" fillId="0" borderId="38" xfId="0" applyNumberFormat="1" applyFont="1" applyFill="1" applyBorder="1" applyAlignment="1" applyProtection="1">
      <alignment horizontal="center" vertical="center"/>
      <protection locked="0"/>
    </xf>
    <xf numFmtId="170" fontId="4" fillId="0" borderId="39" xfId="0" applyNumberFormat="1" applyFont="1" applyFill="1" applyBorder="1" applyAlignment="1" applyProtection="1">
      <alignment horizontal="center" vertical="center"/>
      <protection locked="0"/>
    </xf>
    <xf numFmtId="22" fontId="14" fillId="0" borderId="91" xfId="0" quotePrefix="1" applyNumberFormat="1" applyFont="1" applyFill="1" applyBorder="1" applyAlignment="1" applyProtection="1"/>
    <xf numFmtId="0" fontId="14" fillId="0" borderId="79" xfId="0" applyFont="1" applyFill="1" applyBorder="1" applyAlignment="1" applyProtection="1"/>
    <xf numFmtId="0" fontId="14" fillId="0" borderId="91" xfId="0" applyFont="1" applyFill="1" applyBorder="1" applyAlignment="1" applyProtection="1">
      <alignment wrapText="1"/>
    </xf>
    <xf numFmtId="0" fontId="14" fillId="8" borderId="26" xfId="0" applyFont="1" applyFill="1" applyBorder="1" applyAlignment="1" applyProtection="1">
      <alignment wrapText="1"/>
    </xf>
    <xf numFmtId="22" fontId="14" fillId="0" borderId="91" xfId="0" quotePrefix="1" applyNumberFormat="1" applyFont="1" applyFill="1" applyBorder="1" applyAlignment="1" applyProtection="1">
      <alignment wrapText="1"/>
    </xf>
    <xf numFmtId="0" fontId="52" fillId="4" borderId="38" xfId="0" applyFont="1" applyFill="1" applyBorder="1" applyAlignment="1" applyProtection="1">
      <alignment horizontal="center" vertical="center"/>
      <protection locked="0"/>
    </xf>
    <xf numFmtId="0" fontId="7" fillId="4" borderId="39" xfId="0" applyFont="1" applyFill="1" applyBorder="1" applyAlignment="1" applyProtection="1">
      <alignment horizontal="center" vertical="center"/>
      <protection locked="0"/>
    </xf>
    <xf numFmtId="0" fontId="14" fillId="0" borderId="91" xfId="0" quotePrefix="1" applyFont="1" applyFill="1" applyBorder="1" applyAlignment="1" applyProtection="1">
      <alignment wrapText="1"/>
    </xf>
    <xf numFmtId="0" fontId="7" fillId="8" borderId="26" xfId="0" applyFont="1" applyFill="1" applyBorder="1" applyAlignment="1" applyProtection="1">
      <alignment wrapText="1"/>
      <protection locked="0"/>
    </xf>
    <xf numFmtId="0" fontId="7" fillId="8" borderId="28" xfId="0" applyFont="1" applyFill="1" applyBorder="1" applyAlignment="1" applyProtection="1">
      <protection locked="0"/>
    </xf>
    <xf numFmtId="0" fontId="7" fillId="8" borderId="41" xfId="0" applyFont="1" applyFill="1" applyBorder="1" applyAlignment="1" applyProtection="1">
      <protection locked="0"/>
    </xf>
    <xf numFmtId="0" fontId="25" fillId="8" borderId="40" xfId="0" applyFont="1" applyFill="1" applyBorder="1" applyAlignment="1" applyProtection="1">
      <alignment wrapText="1"/>
      <protection locked="0"/>
    </xf>
    <xf numFmtId="0" fontId="0" fillId="8" borderId="32" xfId="0" applyFill="1" applyBorder="1" applyAlignment="1" applyProtection="1">
      <protection locked="0"/>
    </xf>
    <xf numFmtId="167" fontId="7" fillId="3" borderId="14" xfId="3" applyNumberFormat="1" applyFont="1" applyFill="1" applyBorder="1" applyAlignment="1" applyProtection="1">
      <alignment wrapText="1"/>
      <protection locked="0"/>
    </xf>
    <xf numFmtId="0" fontId="7" fillId="0" borderId="16" xfId="0" applyFont="1" applyBorder="1" applyAlignment="1" applyProtection="1">
      <protection locked="0"/>
    </xf>
    <xf numFmtId="0" fontId="7" fillId="0" borderId="39" xfId="0" applyFont="1" applyBorder="1" applyAlignment="1" applyProtection="1">
      <alignment horizontal="center" vertical="center"/>
      <protection locked="0"/>
    </xf>
    <xf numFmtId="0" fontId="14" fillId="0" borderId="91" xfId="0" quotePrefix="1" applyFont="1" applyFill="1" applyBorder="1" applyAlignment="1" applyProtection="1">
      <alignment horizontal="left" vertical="center" wrapText="1"/>
    </xf>
    <xf numFmtId="0" fontId="7" fillId="0" borderId="9" xfId="0" applyFont="1" applyBorder="1" applyAlignment="1" applyProtection="1">
      <alignment horizontal="left" wrapText="1"/>
    </xf>
    <xf numFmtId="0" fontId="7" fillId="0" borderId="79" xfId="0" applyFont="1" applyBorder="1" applyAlignment="1" applyProtection="1">
      <alignment horizontal="left" wrapText="1"/>
    </xf>
    <xf numFmtId="49" fontId="51" fillId="8" borderId="3" xfId="3" applyNumberFormat="1" applyFont="1" applyFill="1" applyBorder="1" applyAlignment="1" applyProtection="1">
      <alignment horizontal="left" wrapText="1"/>
      <protection locked="0"/>
    </xf>
    <xf numFmtId="0" fontId="7" fillId="0" borderId="18" xfId="0" applyFont="1" applyBorder="1" applyAlignment="1" applyProtection="1">
      <protection locked="0"/>
    </xf>
    <xf numFmtId="0" fontId="3" fillId="2" borderId="14" xfId="0" applyFont="1" applyFill="1" applyBorder="1" applyAlignment="1" applyProtection="1">
      <alignment vertical="top" wrapText="1"/>
      <protection locked="0"/>
    </xf>
    <xf numFmtId="0" fontId="0" fillId="0" borderId="15" xfId="0" applyBorder="1" applyAlignment="1">
      <alignment vertical="top"/>
    </xf>
    <xf numFmtId="0" fontId="0" fillId="0" borderId="16" xfId="0" applyBorder="1" applyAlignment="1">
      <alignment vertical="top"/>
    </xf>
    <xf numFmtId="170" fontId="33" fillId="2" borderId="51" xfId="1" applyNumberFormat="1" applyFont="1" applyFill="1" applyBorder="1" applyAlignment="1" applyProtection="1">
      <alignment horizontal="center"/>
    </xf>
    <xf numFmtId="170" fontId="0" fillId="0" borderId="41" xfId="1" applyNumberFormat="1" applyFont="1" applyBorder="1" applyAlignment="1" applyProtection="1">
      <alignment horizontal="center"/>
    </xf>
    <xf numFmtId="0" fontId="13" fillId="2" borderId="14" xfId="0" applyFont="1" applyFill="1" applyBorder="1" applyAlignment="1" applyProtection="1">
      <alignment wrapText="1"/>
    </xf>
    <xf numFmtId="0" fontId="0" fillId="0" borderId="15" xfId="0" applyBorder="1" applyAlignment="1" applyProtection="1"/>
    <xf numFmtId="0" fontId="0" fillId="0" borderId="57" xfId="0" applyBorder="1" applyAlignment="1" applyProtection="1"/>
    <xf numFmtId="0" fontId="7" fillId="4" borderId="33" xfId="0" applyFont="1" applyFill="1" applyBorder="1" applyAlignment="1" applyProtection="1">
      <alignment wrapText="1"/>
      <protection locked="0"/>
    </xf>
    <xf numFmtId="0" fontId="7" fillId="0" borderId="29" xfId="0" applyFont="1" applyBorder="1" applyAlignment="1" applyProtection="1">
      <protection locked="0"/>
    </xf>
    <xf numFmtId="0" fontId="7" fillId="0" borderId="89" xfId="0" applyFont="1" applyBorder="1" applyAlignment="1" applyProtection="1">
      <protection locked="0"/>
    </xf>
    <xf numFmtId="0" fontId="3" fillId="12" borderId="46" xfId="0" applyFont="1" applyFill="1" applyBorder="1" applyAlignment="1" applyProtection="1">
      <alignment horizontal="center" vertical="top" wrapText="1"/>
    </xf>
    <xf numFmtId="0" fontId="0" fillId="12" borderId="9" xfId="0" applyFill="1" applyBorder="1" applyAlignment="1" applyProtection="1">
      <alignment horizontal="center" vertical="top"/>
    </xf>
    <xf numFmtId="0" fontId="0" fillId="12" borderId="94" xfId="0" applyFill="1" applyBorder="1" applyAlignment="1" applyProtection="1">
      <alignment horizontal="center" vertical="top"/>
    </xf>
    <xf numFmtId="0" fontId="0" fillId="12" borderId="6" xfId="0" applyFill="1" applyBorder="1" applyAlignment="1" applyProtection="1">
      <alignment horizontal="center" vertical="top"/>
    </xf>
    <xf numFmtId="0" fontId="0" fillId="12" borderId="0" xfId="0" applyFill="1" applyAlignment="1" applyProtection="1">
      <alignment horizontal="center" vertical="top"/>
    </xf>
    <xf numFmtId="0" fontId="0" fillId="12" borderId="11" xfId="0" applyFill="1" applyBorder="1" applyAlignment="1" applyProtection="1">
      <alignment horizontal="center" vertical="top"/>
    </xf>
    <xf numFmtId="0" fontId="0" fillId="12" borderId="20" xfId="0" applyFill="1" applyBorder="1" applyAlignment="1" applyProtection="1">
      <alignment horizontal="center" vertical="top"/>
    </xf>
    <xf numFmtId="0" fontId="0" fillId="12" borderId="10" xfId="0" applyFill="1" applyBorder="1" applyAlignment="1" applyProtection="1">
      <alignment horizontal="center" vertical="top"/>
    </xf>
    <xf numFmtId="0" fontId="0" fillId="12" borderId="56" xfId="0" applyFill="1" applyBorder="1" applyAlignment="1" applyProtection="1">
      <alignment horizontal="center" vertical="top"/>
    </xf>
    <xf numFmtId="0" fontId="59" fillId="12" borderId="46" xfId="0" applyFont="1" applyFill="1" applyBorder="1" applyAlignment="1" applyProtection="1">
      <alignment horizontal="center" vertical="top" wrapText="1"/>
    </xf>
    <xf numFmtId="0" fontId="59" fillId="12" borderId="9" xfId="0" applyFont="1" applyFill="1" applyBorder="1" applyAlignment="1" applyProtection="1">
      <alignment horizontal="center" vertical="top"/>
    </xf>
    <xf numFmtId="0" fontId="59" fillId="12" borderId="94" xfId="0" applyFont="1" applyFill="1" applyBorder="1" applyAlignment="1" applyProtection="1">
      <alignment horizontal="center" vertical="top"/>
    </xf>
    <xf numFmtId="0" fontId="59" fillId="12" borderId="6" xfId="0" applyFont="1" applyFill="1" applyBorder="1" applyAlignment="1" applyProtection="1">
      <alignment horizontal="center" vertical="top"/>
    </xf>
    <xf numFmtId="0" fontId="59" fillId="12" borderId="0" xfId="0" applyFont="1" applyFill="1" applyAlignment="1" applyProtection="1">
      <alignment horizontal="center" vertical="top"/>
    </xf>
    <xf numFmtId="0" fontId="59" fillId="12" borderId="11" xfId="0" applyFont="1" applyFill="1" applyBorder="1" applyAlignment="1" applyProtection="1">
      <alignment horizontal="center" vertical="top"/>
    </xf>
    <xf numFmtId="0" fontId="59" fillId="12" borderId="20" xfId="0" applyFont="1" applyFill="1" applyBorder="1" applyAlignment="1" applyProtection="1">
      <alignment horizontal="center" vertical="top"/>
    </xf>
    <xf numFmtId="0" fontId="59" fillId="12" borderId="10" xfId="0" applyFont="1" applyFill="1" applyBorder="1" applyAlignment="1" applyProtection="1">
      <alignment horizontal="center" vertical="top"/>
    </xf>
    <xf numFmtId="0" fontId="59" fillId="12" borderId="56" xfId="0" applyFont="1" applyFill="1" applyBorder="1" applyAlignment="1" applyProtection="1">
      <alignment horizontal="center" vertical="top"/>
    </xf>
    <xf numFmtId="0" fontId="59" fillId="13" borderId="46" xfId="0" applyFont="1" applyFill="1" applyBorder="1" applyAlignment="1" applyProtection="1">
      <alignment horizontal="center" vertical="top" wrapText="1"/>
    </xf>
    <xf numFmtId="0" fontId="59" fillId="13" borderId="9" xfId="0" applyFont="1" applyFill="1" applyBorder="1" applyAlignment="1" applyProtection="1">
      <alignment horizontal="center" vertical="top"/>
    </xf>
    <xf numFmtId="0" fontId="59" fillId="13" borderId="94" xfId="0" applyFont="1" applyFill="1" applyBorder="1" applyAlignment="1" applyProtection="1">
      <alignment horizontal="center" vertical="top"/>
    </xf>
    <xf numFmtId="0" fontId="59" fillId="13" borderId="6" xfId="0" applyFont="1" applyFill="1" applyBorder="1" applyAlignment="1" applyProtection="1">
      <alignment horizontal="center" vertical="top"/>
    </xf>
    <xf numFmtId="0" fontId="59" fillId="13" borderId="0" xfId="0" applyFont="1" applyFill="1" applyAlignment="1" applyProtection="1">
      <alignment horizontal="center" vertical="top"/>
    </xf>
    <xf numFmtId="0" fontId="59" fillId="13" borderId="11" xfId="0" applyFont="1" applyFill="1" applyBorder="1" applyAlignment="1" applyProtection="1">
      <alignment horizontal="center" vertical="top"/>
    </xf>
    <xf numFmtId="0" fontId="59" fillId="13" borderId="20" xfId="0" applyFont="1" applyFill="1" applyBorder="1" applyAlignment="1" applyProtection="1">
      <alignment horizontal="center" vertical="top"/>
    </xf>
    <xf numFmtId="0" fontId="59" fillId="13" borderId="10" xfId="0" applyFont="1" applyFill="1" applyBorder="1" applyAlignment="1" applyProtection="1">
      <alignment horizontal="center" vertical="top"/>
    </xf>
    <xf numFmtId="0" fontId="59" fillId="13" borderId="56" xfId="0" applyFont="1" applyFill="1" applyBorder="1" applyAlignment="1" applyProtection="1">
      <alignment horizontal="center" vertical="top"/>
    </xf>
    <xf numFmtId="0" fontId="59" fillId="13" borderId="46" xfId="0" applyFont="1" applyFill="1" applyBorder="1" applyAlignment="1" applyProtection="1">
      <alignment horizontal="center" vertical="center" wrapText="1"/>
    </xf>
    <xf numFmtId="0" fontId="59" fillId="13" borderId="9" xfId="0" applyFont="1" applyFill="1" applyBorder="1" applyAlignment="1" applyProtection="1">
      <alignment horizontal="center" vertical="center"/>
    </xf>
    <xf numFmtId="0" fontId="59" fillId="13" borderId="94" xfId="0" applyFont="1" applyFill="1" applyBorder="1" applyAlignment="1" applyProtection="1">
      <alignment horizontal="center" vertical="center"/>
    </xf>
    <xf numFmtId="0" fontId="59" fillId="13" borderId="6" xfId="0" applyFont="1" applyFill="1" applyBorder="1" applyAlignment="1" applyProtection="1">
      <alignment horizontal="center" vertical="center"/>
    </xf>
    <xf numFmtId="0" fontId="59" fillId="13" borderId="0" xfId="0" applyFont="1" applyFill="1" applyAlignment="1" applyProtection="1">
      <alignment horizontal="center" vertical="center"/>
    </xf>
    <xf numFmtId="0" fontId="59" fillId="13" borderId="11" xfId="0" applyFont="1" applyFill="1" applyBorder="1" applyAlignment="1" applyProtection="1">
      <alignment horizontal="center" vertical="center"/>
    </xf>
    <xf numFmtId="0" fontId="59" fillId="13" borderId="20" xfId="0" applyFont="1" applyFill="1" applyBorder="1" applyAlignment="1" applyProtection="1">
      <alignment horizontal="center" vertical="center"/>
    </xf>
    <xf numFmtId="0" fontId="59" fillId="13" borderId="10" xfId="0" applyFont="1" applyFill="1" applyBorder="1" applyAlignment="1" applyProtection="1">
      <alignment horizontal="center" vertical="center"/>
    </xf>
    <xf numFmtId="0" fontId="59" fillId="13" borderId="56" xfId="0" applyFont="1" applyFill="1" applyBorder="1" applyAlignment="1" applyProtection="1">
      <alignment horizontal="center" vertical="center"/>
    </xf>
    <xf numFmtId="44" fontId="13" fillId="2" borderId="70" xfId="0" applyNumberFormat="1" applyFont="1" applyFill="1" applyBorder="1" applyAlignment="1" applyProtection="1">
      <alignment horizontal="right" vertical="center"/>
    </xf>
    <xf numFmtId="0" fontId="7" fillId="2" borderId="72" xfId="0" applyFont="1" applyFill="1" applyBorder="1" applyAlignment="1" applyProtection="1">
      <alignment horizontal="right" vertical="center"/>
    </xf>
    <xf numFmtId="0" fontId="7" fillId="2" borderId="14" xfId="0" applyFont="1" applyFill="1" applyBorder="1" applyAlignment="1" applyProtection="1">
      <alignment wrapText="1"/>
    </xf>
    <xf numFmtId="0" fontId="7" fillId="0" borderId="16" xfId="0" applyFont="1" applyBorder="1" applyAlignment="1" applyProtection="1">
      <alignment wrapText="1"/>
    </xf>
    <xf numFmtId="0" fontId="7" fillId="8" borderId="20" xfId="0" applyFont="1" applyFill="1" applyBorder="1" applyAlignment="1" applyProtection="1">
      <alignment horizontal="left" wrapText="1"/>
      <protection locked="0"/>
    </xf>
    <xf numFmtId="0" fontId="7" fillId="8" borderId="10" xfId="0" applyFont="1" applyFill="1" applyBorder="1" applyAlignment="1" applyProtection="1">
      <alignment horizontal="left" wrapText="1"/>
      <protection locked="0"/>
    </xf>
    <xf numFmtId="0" fontId="7" fillId="8" borderId="10" xfId="0" applyFont="1" applyFill="1" applyBorder="1" applyAlignment="1" applyProtection="1">
      <protection locked="0"/>
    </xf>
    <xf numFmtId="0" fontId="7" fillId="8" borderId="56" xfId="0" applyFont="1" applyFill="1" applyBorder="1" applyAlignment="1" applyProtection="1">
      <protection locked="0"/>
    </xf>
    <xf numFmtId="0" fontId="54" fillId="3" borderId="39" xfId="0" applyFont="1" applyFill="1" applyBorder="1" applyAlignment="1" applyProtection="1">
      <alignment horizontal="center" vertical="center"/>
      <protection locked="0"/>
    </xf>
    <xf numFmtId="0" fontId="13" fillId="0" borderId="14" xfId="0" applyFont="1" applyFill="1" applyBorder="1" applyAlignment="1" applyProtection="1">
      <protection locked="0"/>
    </xf>
    <xf numFmtId="0" fontId="13" fillId="0" borderId="22" xfId="0" applyFont="1" applyFill="1" applyBorder="1" applyAlignment="1" applyProtection="1">
      <protection locked="0"/>
    </xf>
    <xf numFmtId="0" fontId="7" fillId="0" borderId="52" xfId="0" applyFont="1" applyBorder="1" applyAlignment="1" applyProtection="1">
      <protection locked="0"/>
    </xf>
    <xf numFmtId="0" fontId="7" fillId="2" borderId="22" xfId="0" applyFont="1" applyFill="1" applyBorder="1" applyAlignment="1" applyProtection="1">
      <alignment wrapText="1"/>
    </xf>
    <xf numFmtId="0" fontId="7" fillId="0" borderId="52" xfId="0" applyFont="1" applyBorder="1" applyAlignment="1" applyProtection="1">
      <alignment wrapText="1"/>
    </xf>
  </cellXfs>
  <cellStyles count="6">
    <cellStyle name="Euro" xfId="5"/>
    <cellStyle name="Prozent" xfId="2" builtinId="5"/>
    <cellStyle name="Prozent 2" xfId="4"/>
    <cellStyle name="Standard" xfId="0" builtinId="0"/>
    <cellStyle name="Standard 2" xfId="3"/>
    <cellStyle name="Währung" xfId="1" builtinId="4"/>
  </cellStyles>
  <dxfs count="109">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patternType="none">
          <bgColor auto="1"/>
        </patternFill>
      </fill>
    </dxf>
    <dxf>
      <font>
        <color theme="0"/>
      </font>
    </dxf>
    <dxf>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FF99"/>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FF99"/>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patternFill>
      </fill>
    </dxf>
    <dxf>
      <fill>
        <patternFill>
          <bgColor rgb="FFFFFF99"/>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ont>
        <color theme="0"/>
      </font>
    </dxf>
  </dxfs>
  <tableStyles count="0" defaultTableStyle="TableStyleMedium2" defaultPivotStyle="PivotStyleLight16"/>
  <colors>
    <mruColors>
      <color rgb="FFFFFF99"/>
      <color rgb="FFDAE7F6"/>
      <color rgb="FFFFFF66"/>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12</xdr:row>
      <xdr:rowOff>95251</xdr:rowOff>
    </xdr:from>
    <xdr:ext cx="5429250" cy="1800224"/>
    <xdr:sp macro="" textlink="">
      <xdr:nvSpPr>
        <xdr:cNvPr id="2" name="Textfeld 1">
          <a:extLst>
            <a:ext uri="{FF2B5EF4-FFF2-40B4-BE49-F238E27FC236}">
              <a16:creationId xmlns:a16="http://schemas.microsoft.com/office/drawing/2014/main" xmlns="" id="{00000000-0008-0000-0100-000002000000}"/>
            </a:ext>
          </a:extLst>
        </xdr:cNvPr>
        <xdr:cNvSpPr txBox="1"/>
      </xdr:nvSpPr>
      <xdr:spPr>
        <a:xfrm>
          <a:off x="190500" y="2809876"/>
          <a:ext cx="5429250" cy="1800224"/>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u="sng" baseline="0">
              <a:solidFill>
                <a:sysClr val="windowText" lastClr="000000"/>
              </a:solidFill>
            </a:rPr>
            <a:t>Hinweise zum Blattschutz in allen Reitern des KdU-Tools:</a:t>
          </a:r>
          <a:r>
            <a:rPr lang="de-DE" sz="1100" b="0" baseline="0">
              <a:solidFill>
                <a:sysClr val="windowText" lastClr="000000"/>
              </a:solidFill>
            </a:rPr>
            <a:t/>
          </a:r>
          <a:br>
            <a:rPr lang="de-DE" sz="1100" b="0" baseline="0">
              <a:solidFill>
                <a:sysClr val="windowText" lastClr="000000"/>
              </a:solidFill>
            </a:rPr>
          </a:br>
          <a:r>
            <a:rPr lang="de-DE" sz="1100" b="0" baseline="0">
              <a:solidFill>
                <a:sysClr val="windowText" lastClr="000000"/>
              </a:solidFill>
            </a:rPr>
            <a:t>Es wurde bewusst darauf verzichtet, alle Zellen, in denen keine Eingabe notwendig ist, zu sperren.  So können Sie bspw. Kommentare einfügen oder auf der rechten Seite ggfs. Nebenrechnungen in die Tabelle aufnehmen.</a:t>
          </a:r>
          <a:br>
            <a:rPr lang="de-DE" sz="1100" b="0" baseline="0">
              <a:solidFill>
                <a:sysClr val="windowText" lastClr="000000"/>
              </a:solidFill>
            </a:rPr>
          </a:br>
          <a:r>
            <a:rPr lang="de-DE" sz="1100" b="0" baseline="0">
              <a:solidFill>
                <a:sysClr val="windowText" lastClr="000000"/>
              </a:solidFill>
            </a:rPr>
            <a:t>Felder mit Formeln bzw. Rechenergebnissen und Kontrollrechnungen wurden jedoch mit einem Blattschutz versehen, damit Formeln nicht versehentlich überschrieben werden.</a:t>
          </a:r>
          <a:br>
            <a:rPr lang="de-DE" sz="1100" b="0" baseline="0">
              <a:solidFill>
                <a:sysClr val="windowText" lastClr="000000"/>
              </a:solidFill>
            </a:rPr>
          </a:br>
          <a:r>
            <a:rPr lang="de-DE" sz="1100" b="0" baseline="0">
              <a:solidFill>
                <a:sysClr val="windowText" lastClr="000000"/>
              </a:solidFill>
            </a:rPr>
            <a:t>Sofern notwendig, können Sie den Blattschutz jedoch in jedem Reiter (ohne Eingabe eines Passworts) wieder aufheben.  Klicken Sie hierzu oben auf "Überprüfen" und dann auf das Feld "Blattschutz aufheben".</a:t>
          </a:r>
          <a:br>
            <a:rPr lang="de-DE" sz="1100" b="0" baseline="0">
              <a:solidFill>
                <a:sysClr val="windowText" lastClr="000000"/>
              </a:solidFill>
            </a:rPr>
          </a:br>
          <a:r>
            <a:rPr lang="de-DE" sz="900" b="0" i="1" baseline="0">
              <a:solidFill>
                <a:sysClr val="windowText" lastClr="000000"/>
              </a:solidFill>
            </a:rPr>
            <a:t>=&gt; Dieser Hinweis wird nicht mit ausgedruckt.</a:t>
          </a:r>
          <a:endParaRPr lang="de-DE" sz="900" b="0" i="1">
            <a:solidFill>
              <a:sysClr val="windowText" lastClr="000000"/>
            </a:solidFill>
          </a:endParaRPr>
        </a:p>
      </xdr:txBody>
    </xdr:sp>
    <xdr:clientData fPrintsWithSheet="0"/>
  </xdr:oneCellAnchor>
  <xdr:oneCellAnchor>
    <xdr:from>
      <xdr:col>0</xdr:col>
      <xdr:colOff>190500</xdr:colOff>
      <xdr:row>22</xdr:row>
      <xdr:rowOff>114300</xdr:rowOff>
    </xdr:from>
    <xdr:ext cx="5429250" cy="1609725"/>
    <xdr:sp macro="" textlink="">
      <xdr:nvSpPr>
        <xdr:cNvPr id="3" name="Textfeld 2">
          <a:extLst>
            <a:ext uri="{FF2B5EF4-FFF2-40B4-BE49-F238E27FC236}">
              <a16:creationId xmlns:a16="http://schemas.microsoft.com/office/drawing/2014/main" xmlns="" id="{00000000-0008-0000-0100-000002000000}"/>
            </a:ext>
          </a:extLst>
        </xdr:cNvPr>
        <xdr:cNvSpPr txBox="1"/>
      </xdr:nvSpPr>
      <xdr:spPr>
        <a:xfrm>
          <a:off x="190500" y="4733925"/>
          <a:ext cx="5429250" cy="1609725"/>
        </a:xfrm>
        <a:prstGeom prst="rect">
          <a:avLst/>
        </a:prstGeom>
        <a:solidFill>
          <a:schemeClr val="accent5">
            <a:lumMod val="60000"/>
            <a:lumOff val="4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u="sng" baseline="0">
              <a:solidFill>
                <a:sysClr val="windowText" lastClr="000000"/>
              </a:solidFill>
            </a:rPr>
            <a:t>Hinweise zur Anwendung des KdU-Tools im Übergangszeitraum 2020-2021::</a:t>
          </a:r>
          <a:r>
            <a:rPr lang="de-DE" sz="1100" b="0" baseline="0">
              <a:solidFill>
                <a:sysClr val="windowText" lastClr="000000"/>
              </a:solidFill>
            </a:rPr>
            <a:t/>
          </a:r>
          <a:br>
            <a:rPr lang="de-DE" sz="1100" b="0" baseline="0">
              <a:solidFill>
                <a:sysClr val="windowText" lastClr="000000"/>
              </a:solidFill>
            </a:rPr>
          </a:br>
          <a:r>
            <a:rPr lang="de-DE" sz="1100">
              <a:solidFill>
                <a:schemeClr val="tx1"/>
              </a:solidFill>
              <a:effectLst/>
              <a:latin typeface="+mn-lt"/>
              <a:ea typeface="+mn-ea"/>
              <a:cs typeface="+mn-cs"/>
            </a:rPr>
            <a:t>Das KdU-Tool in der zwischen den Landesrahmenvertrags-Partnern geeinten Version 1.3. kommt auch in der Übergangsphase der BTHG-Einführung 2020-2021 zum Einsatz. Damit eine Umsetzung der Vorgaben des BTHG zum 01.01.2020 zeitlich möglich wird, haben die Rahmenvertrags-Partner </a:t>
          </a:r>
          <a:r>
            <a:rPr lang="de-DE" sz="1100" b="1">
              <a:solidFill>
                <a:schemeClr val="tx1"/>
              </a:solidFill>
              <a:effectLst/>
              <a:latin typeface="+mn-lt"/>
              <a:ea typeface="+mn-ea"/>
              <a:cs typeface="+mn-cs"/>
            </a:rPr>
            <a:t>einheitliche Vereinfachungen</a:t>
          </a:r>
          <a:r>
            <a:rPr lang="de-DE" sz="1100">
              <a:solidFill>
                <a:schemeClr val="tx1"/>
              </a:solidFill>
              <a:effectLst/>
              <a:latin typeface="+mn-lt"/>
              <a:ea typeface="+mn-ea"/>
              <a:cs typeface="+mn-cs"/>
            </a:rPr>
            <a:t> festgelegt, auf deren Basis die Kosten der Unterkunft zum 01.01.2020 für einen Übergangszeitraum bis maximal 31.12.2021 kalkuliert werden. Bitte lesen</a:t>
          </a:r>
          <a:r>
            <a:rPr lang="de-DE" sz="1100" baseline="0">
              <a:solidFill>
                <a:schemeClr val="tx1"/>
              </a:solidFill>
              <a:effectLst/>
              <a:latin typeface="+mn-lt"/>
              <a:ea typeface="+mn-ea"/>
              <a:cs typeface="+mn-cs"/>
            </a:rPr>
            <a:t> Sie hierzu vor dem Ausfüllen des KdU-Tools  die  "</a:t>
          </a:r>
          <a:r>
            <a:rPr lang="de-DE" sz="1100" b="1">
              <a:solidFill>
                <a:schemeClr val="tx1"/>
              </a:solidFill>
              <a:effectLst/>
              <a:latin typeface="+mn-lt"/>
              <a:ea typeface="+mn-ea"/>
              <a:cs typeface="+mn-cs"/>
            </a:rPr>
            <a:t>Kurz-Ausfüllhilfe zum Übergangszeitraum 2020-2021</a:t>
          </a:r>
          <a:r>
            <a:rPr lang="de-DE" sz="1100">
              <a:solidFill>
                <a:schemeClr val="tx1"/>
              </a:solidFill>
              <a:effectLst/>
              <a:latin typeface="+mn-lt"/>
              <a:ea typeface="+mn-ea"/>
              <a:cs typeface="+mn-cs"/>
            </a:rPr>
            <a:t>"!</a:t>
          </a:r>
          <a:r>
            <a:rPr lang="de-DE" sz="1100" b="0" baseline="0">
              <a:solidFill>
                <a:sysClr val="windowText" lastClr="000000"/>
              </a:solidFill>
            </a:rPr>
            <a:t/>
          </a:r>
          <a:br>
            <a:rPr lang="de-DE" sz="1100" b="0" baseline="0">
              <a:solidFill>
                <a:sysClr val="windowText" lastClr="000000"/>
              </a:solidFill>
            </a:rPr>
          </a:br>
          <a:r>
            <a:rPr lang="de-DE" sz="900" b="0" i="1" baseline="0">
              <a:solidFill>
                <a:sysClr val="windowText" lastClr="000000"/>
              </a:solidFill>
            </a:rPr>
            <a:t>=&gt; Dieser Hinweis wird nicht mit ausgedruckt.</a:t>
          </a:r>
          <a:endParaRPr lang="de-DE" sz="900" b="0" i="1">
            <a:solidFill>
              <a:sysClr val="windowText" lastClr="000000"/>
            </a:solidFill>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5</xdr:col>
      <xdr:colOff>180975</xdr:colOff>
      <xdr:row>2</xdr:row>
      <xdr:rowOff>219075</xdr:rowOff>
    </xdr:from>
    <xdr:ext cx="3076575" cy="781050"/>
    <xdr:sp macro="" textlink="">
      <xdr:nvSpPr>
        <xdr:cNvPr id="2" name="Textfeld 1">
          <a:extLst>
            <a:ext uri="{FF2B5EF4-FFF2-40B4-BE49-F238E27FC236}">
              <a16:creationId xmlns:a16="http://schemas.microsoft.com/office/drawing/2014/main" xmlns="" id="{00000000-0008-0000-0100-000002000000}"/>
            </a:ext>
          </a:extLst>
        </xdr:cNvPr>
        <xdr:cNvSpPr txBox="1"/>
      </xdr:nvSpPr>
      <xdr:spPr>
        <a:xfrm>
          <a:off x="7343775" y="885825"/>
          <a:ext cx="3076575" cy="78105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In diesem Reiter sind keine manuellen Eintragungen vorzunehmen. Alle Werte ergeben sich aus den Berechnungen der Reiter A - E.</a:t>
          </a:r>
        </a:p>
        <a:p>
          <a:pPr marL="0" marR="0" indent="0" defTabSz="914400" eaLnBrk="1" fontAlgn="auto" latinLnBrk="0" hangingPunct="1">
            <a:lnSpc>
              <a:spcPct val="100000"/>
            </a:lnSpc>
            <a:spcBef>
              <a:spcPts val="0"/>
            </a:spcBef>
            <a:spcAft>
              <a:spcPts val="0"/>
            </a:spcAft>
            <a:buClrTx/>
            <a:buSzTx/>
            <a:buFontTx/>
            <a:buNone/>
            <a:tabLst/>
            <a:defRPr/>
          </a:pPr>
          <a:r>
            <a:rPr lang="de-DE" sz="900" b="0" i="1" baseline="0">
              <a:solidFill>
                <a:schemeClr val="tx1"/>
              </a:solidFill>
              <a:effectLst/>
              <a:latin typeface="+mn-lt"/>
              <a:ea typeface="+mn-ea"/>
              <a:cs typeface="+mn-cs"/>
            </a:rPr>
            <a:t>=&gt; Dieser Hinweis wird nicht mit ausgedruckt.</a:t>
          </a:r>
          <a:endParaRPr lang="de-DE" sz="900">
            <a:effectLst/>
          </a:endParaRPr>
        </a:p>
        <a:p>
          <a:endParaRPr lang="de-DE" sz="1100" b="0"/>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76200</xdr:rowOff>
    </xdr:from>
    <xdr:to>
      <xdr:col>4</xdr:col>
      <xdr:colOff>0</xdr:colOff>
      <xdr:row>0</xdr:row>
      <xdr:rowOff>273686</xdr:rowOff>
    </xdr:to>
    <xdr:pic>
      <xdr:nvPicPr>
        <xdr:cNvPr id="4" name="Grafik 3">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76200"/>
          <a:ext cx="1302384" cy="197486"/>
        </a:xfrm>
        <a:prstGeom prst="rect">
          <a:avLst/>
        </a:prstGeom>
      </xdr:spPr>
    </xdr:pic>
    <xdr:clientData/>
  </xdr:twoCellAnchor>
  <xdr:oneCellAnchor>
    <xdr:from>
      <xdr:col>7</xdr:col>
      <xdr:colOff>19050</xdr:colOff>
      <xdr:row>0</xdr:row>
      <xdr:rowOff>209551</xdr:rowOff>
    </xdr:from>
    <xdr:ext cx="5686426" cy="1771650"/>
    <xdr:sp macro="" textlink="">
      <xdr:nvSpPr>
        <xdr:cNvPr id="3" name="Textfeld 2">
          <a:extLst>
            <a:ext uri="{FF2B5EF4-FFF2-40B4-BE49-F238E27FC236}">
              <a16:creationId xmlns:a16="http://schemas.microsoft.com/office/drawing/2014/main" xmlns="" id="{00000000-0008-0000-0100-000002000000}"/>
            </a:ext>
          </a:extLst>
        </xdr:cNvPr>
        <xdr:cNvSpPr txBox="1"/>
      </xdr:nvSpPr>
      <xdr:spPr>
        <a:xfrm>
          <a:off x="7981950" y="209551"/>
          <a:ext cx="5686426" cy="1771650"/>
        </a:xfrm>
        <a:prstGeom prst="rect">
          <a:avLst/>
        </a:prstGeom>
        <a:solidFill>
          <a:schemeClr val="accent5">
            <a:lumMod val="60000"/>
            <a:lumOff val="4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u="sng" baseline="0">
              <a:solidFill>
                <a:sysClr val="windowText" lastClr="000000"/>
              </a:solidFill>
            </a:rPr>
            <a:t>Hinweise zur Anwendung des KdU-Tools im Übergangszeitraum 2020-2021::</a:t>
          </a:r>
          <a:r>
            <a:rPr lang="de-DE" sz="1100" b="0" baseline="0">
              <a:solidFill>
                <a:sysClr val="windowText" lastClr="000000"/>
              </a:solidFill>
            </a:rPr>
            <a:t/>
          </a:r>
          <a:br>
            <a:rPr lang="de-DE" sz="1100" b="0" baseline="0">
              <a:solidFill>
                <a:sysClr val="windowText" lastClr="000000"/>
              </a:solidFill>
            </a:rPr>
          </a:br>
          <a:r>
            <a:rPr lang="de-DE" sz="1100" b="0">
              <a:solidFill>
                <a:schemeClr val="tx1"/>
              </a:solidFill>
              <a:effectLst/>
              <a:latin typeface="+mn-lt"/>
              <a:ea typeface="+mn-ea"/>
              <a:cs typeface="+mn-cs"/>
            </a:rPr>
            <a:t>Die Rahmenvertrags-Partner haben vereinbart, dass w</a:t>
          </a:r>
          <a:r>
            <a:rPr lang="de-DE" sz="1100">
              <a:solidFill>
                <a:schemeClr val="tx1"/>
              </a:solidFill>
              <a:effectLst/>
              <a:latin typeface="+mn-lt"/>
              <a:ea typeface="+mn-ea"/>
              <a:cs typeface="+mn-cs"/>
            </a:rPr>
            <a:t>ährend des</a:t>
          </a:r>
          <a:r>
            <a:rPr lang="de-DE" sz="1100" baseline="0">
              <a:solidFill>
                <a:schemeClr val="tx1"/>
              </a:solidFill>
              <a:effectLst/>
              <a:latin typeface="+mn-lt"/>
              <a:ea typeface="+mn-ea"/>
              <a:cs typeface="+mn-cs"/>
            </a:rPr>
            <a:t> </a:t>
          </a:r>
          <a:r>
            <a:rPr lang="de-DE" sz="1100" b="1">
              <a:solidFill>
                <a:schemeClr val="tx1"/>
              </a:solidFill>
              <a:effectLst/>
              <a:latin typeface="+mn-lt"/>
              <a:ea typeface="+mn-ea"/>
              <a:cs typeface="+mn-cs"/>
            </a:rPr>
            <a:t>Übergangszeitraums </a:t>
          </a:r>
          <a:br>
            <a:rPr lang="de-DE" sz="1100" b="1">
              <a:solidFill>
                <a:schemeClr val="tx1"/>
              </a:solidFill>
              <a:effectLst/>
              <a:latin typeface="+mn-lt"/>
              <a:ea typeface="+mn-ea"/>
              <a:cs typeface="+mn-cs"/>
            </a:rPr>
          </a:br>
          <a:r>
            <a:rPr lang="de-DE" sz="1100" b="1">
              <a:solidFill>
                <a:schemeClr val="tx1"/>
              </a:solidFill>
              <a:effectLst/>
              <a:latin typeface="+mn-lt"/>
              <a:ea typeface="+mn-ea"/>
              <a:cs typeface="+mn-cs"/>
            </a:rPr>
            <a:t>2020-2021</a:t>
          </a:r>
          <a:r>
            <a:rPr lang="de-DE" sz="1100">
              <a:solidFill>
                <a:schemeClr val="tx1"/>
              </a:solidFill>
              <a:effectLst/>
              <a:latin typeface="+mn-lt"/>
              <a:ea typeface="+mn-ea"/>
              <a:cs typeface="+mn-cs"/>
            </a:rPr>
            <a:t> die Ermittlung der Miete auf </a:t>
          </a:r>
          <a:r>
            <a:rPr lang="de-DE" sz="1100" b="1">
              <a:solidFill>
                <a:schemeClr val="tx1"/>
              </a:solidFill>
              <a:effectLst/>
              <a:latin typeface="+mn-lt"/>
              <a:ea typeface="+mn-ea"/>
              <a:cs typeface="+mn-cs"/>
            </a:rPr>
            <a:t>Basis der bisherigen IK-Sätze</a:t>
          </a:r>
          <a:r>
            <a:rPr lang="de-DE" sz="1100">
              <a:solidFill>
                <a:schemeClr val="tx1"/>
              </a:solidFill>
              <a:effectLst/>
              <a:latin typeface="+mn-lt"/>
              <a:ea typeface="+mn-ea"/>
              <a:cs typeface="+mn-cs"/>
            </a:rPr>
            <a:t> vereinfacht erfolgt </a:t>
          </a:r>
          <a:br>
            <a:rPr lang="de-DE" sz="1100">
              <a:solidFill>
                <a:schemeClr val="tx1"/>
              </a:solidFill>
              <a:effectLst/>
              <a:latin typeface="+mn-lt"/>
              <a:ea typeface="+mn-ea"/>
              <a:cs typeface="+mn-cs"/>
            </a:rPr>
          </a:br>
          <a:r>
            <a:rPr lang="de-DE" sz="1100">
              <a:solidFill>
                <a:schemeClr val="tx1"/>
              </a:solidFill>
              <a:effectLst/>
              <a:latin typeface="+mn-lt"/>
              <a:ea typeface="+mn-ea"/>
              <a:cs typeface="+mn-cs"/>
            </a:rPr>
            <a:t>(somit erst</a:t>
          </a:r>
          <a:r>
            <a:rPr lang="de-DE" sz="1100" baseline="0">
              <a:solidFill>
                <a:schemeClr val="tx1"/>
              </a:solidFill>
              <a:effectLst/>
              <a:latin typeface="+mn-lt"/>
              <a:ea typeface="+mn-ea"/>
              <a:cs typeface="+mn-cs"/>
            </a:rPr>
            <a:t> nach Ende des Übergangszeitraums auf Basis der Ist-Kosten)</a:t>
          </a:r>
          <a:r>
            <a:rPr lang="de-DE" sz="1100">
              <a:solidFill>
                <a:schemeClr val="tx1"/>
              </a:solidFill>
              <a:effectLst/>
              <a:latin typeface="+mn-lt"/>
              <a:ea typeface="+mn-ea"/>
              <a:cs typeface="+mn-cs"/>
            </a:rPr>
            <a:t>. </a:t>
          </a:r>
          <a:br>
            <a:rPr lang="de-DE" sz="1100">
              <a:solidFill>
                <a:schemeClr val="tx1"/>
              </a:solidFill>
              <a:effectLst/>
              <a:latin typeface="+mn-lt"/>
              <a:ea typeface="+mn-ea"/>
              <a:cs typeface="+mn-cs"/>
            </a:rPr>
          </a:br>
          <a:r>
            <a:rPr lang="de-DE" sz="1100" b="1" i="1" u="none" strike="noStrike">
              <a:solidFill>
                <a:schemeClr val="tx1"/>
              </a:solidFill>
              <a:effectLst/>
              <a:latin typeface="+mn-lt"/>
              <a:ea typeface="+mn-ea"/>
              <a:cs typeface="+mn-cs"/>
            </a:rPr>
            <a:t>Bitte setzen Sie für die Berechnung während der Übergnagsphase ein „x“ in </a:t>
          </a:r>
          <a:r>
            <a:rPr lang="de-DE" sz="1100" b="1" i="1" u="sng" strike="noStrike">
              <a:solidFill>
                <a:schemeClr val="tx1"/>
              </a:solidFill>
              <a:effectLst/>
              <a:latin typeface="+mn-lt"/>
              <a:ea typeface="+mn-ea"/>
              <a:cs typeface="+mn-cs"/>
            </a:rPr>
            <a:t>Feld D8.</a:t>
          </a:r>
          <a:endParaRPr lang="de-DE" sz="1100" u="none" strike="noStrike">
            <a:solidFill>
              <a:schemeClr val="tx1"/>
            </a:solidFill>
            <a:effectLst/>
            <a:latin typeface="+mn-lt"/>
            <a:ea typeface="+mn-ea"/>
            <a:cs typeface="+mn-cs"/>
          </a:endParaRPr>
        </a:p>
        <a:p>
          <a:pPr lvl="0"/>
          <a:r>
            <a:rPr lang="de-DE" sz="1100" b="1" i="1" u="none" strike="noStrike">
              <a:solidFill>
                <a:schemeClr val="tx1"/>
              </a:solidFill>
              <a:effectLst/>
              <a:latin typeface="+mn-lt"/>
              <a:ea typeface="+mn-ea"/>
              <a:cs typeface="+mn-cs"/>
            </a:rPr>
            <a:t>Nun erscheint auch das </a:t>
          </a:r>
          <a:r>
            <a:rPr lang="de-DE" sz="1100" b="1" i="1" u="sng" strike="noStrike">
              <a:solidFill>
                <a:schemeClr val="tx1"/>
              </a:solidFill>
              <a:effectLst/>
              <a:latin typeface="+mn-lt"/>
              <a:ea typeface="+mn-ea"/>
              <a:cs typeface="+mn-cs"/>
            </a:rPr>
            <a:t>Feld F8</a:t>
          </a:r>
          <a:r>
            <a:rPr lang="de-DE" sz="1100" b="1" i="1" u="none" strike="noStrike">
              <a:solidFill>
                <a:schemeClr val="tx1"/>
              </a:solidFill>
              <a:effectLst/>
              <a:latin typeface="+mn-lt"/>
              <a:ea typeface="+mn-ea"/>
              <a:cs typeface="+mn-cs"/>
            </a:rPr>
            <a:t> gelb hinterlegt. Bitte tragen Sie dort den </a:t>
          </a:r>
          <a:r>
            <a:rPr lang="de-DE" sz="1100" b="1" i="1" u="sng" strike="noStrike">
              <a:solidFill>
                <a:schemeClr val="tx1"/>
              </a:solidFill>
              <a:effectLst/>
              <a:latin typeface="+mn-lt"/>
              <a:ea typeface="+mn-ea"/>
              <a:cs typeface="+mn-cs"/>
            </a:rPr>
            <a:t>bisherigen IK-Satz</a:t>
          </a:r>
          <a:r>
            <a:rPr lang="de-DE" sz="1100" b="1" i="1" u="none" strike="noStrike">
              <a:solidFill>
                <a:schemeClr val="tx1"/>
              </a:solidFill>
              <a:effectLst/>
              <a:latin typeface="+mn-lt"/>
              <a:ea typeface="+mn-ea"/>
              <a:cs typeface="+mn-cs"/>
            </a:rPr>
            <a:t> ein.</a:t>
          </a:r>
          <a:endParaRPr lang="de-DE" sz="1100" u="none" strike="noStrike">
            <a:solidFill>
              <a:schemeClr val="tx1"/>
            </a:solidFill>
            <a:effectLst/>
            <a:latin typeface="+mn-lt"/>
            <a:ea typeface="+mn-ea"/>
            <a:cs typeface="+mn-cs"/>
          </a:endParaRPr>
        </a:p>
        <a:p>
          <a:r>
            <a:rPr lang="de-DE" sz="1100" b="1" i="1">
              <a:solidFill>
                <a:schemeClr val="tx1"/>
              </a:solidFill>
              <a:effectLst/>
              <a:latin typeface="+mn-lt"/>
              <a:ea typeface="+mn-ea"/>
              <a:cs typeface="+mn-cs"/>
            </a:rPr>
            <a:t>Es sind im Übergangszeitraum </a:t>
          </a:r>
          <a:r>
            <a:rPr lang="de-DE" sz="1100" b="1" i="1" u="sng">
              <a:solidFill>
                <a:schemeClr val="tx1"/>
              </a:solidFill>
              <a:effectLst/>
              <a:latin typeface="+mn-lt"/>
              <a:ea typeface="+mn-ea"/>
              <a:cs typeface="+mn-cs"/>
            </a:rPr>
            <a:t>keine weiteren Eintragungen in Reiter B_1 </a:t>
          </a:r>
          <a:r>
            <a:rPr lang="de-DE" sz="1100" b="1" i="1">
              <a:solidFill>
                <a:schemeClr val="tx1"/>
              </a:solidFill>
              <a:effectLst/>
              <a:latin typeface="+mn-lt"/>
              <a:ea typeface="+mn-ea"/>
              <a:cs typeface="+mn-cs"/>
            </a:rPr>
            <a:t>notwendig. </a:t>
          </a:r>
          <a:r>
            <a:rPr lang="de-DE" sz="1100">
              <a:solidFill>
                <a:schemeClr val="tx1"/>
              </a:solidFill>
              <a:effectLst/>
              <a:latin typeface="+mn-lt"/>
              <a:ea typeface="+mn-ea"/>
              <a:cs typeface="+mn-cs"/>
            </a:rPr>
            <a:t/>
          </a:r>
          <a:br>
            <a:rPr lang="de-DE" sz="1100">
              <a:solidFill>
                <a:schemeClr val="tx1"/>
              </a:solidFill>
              <a:effectLst/>
              <a:latin typeface="+mn-lt"/>
              <a:ea typeface="+mn-ea"/>
              <a:cs typeface="+mn-cs"/>
            </a:rPr>
          </a:br>
          <a:r>
            <a:rPr lang="de-DE" sz="1100">
              <a:solidFill>
                <a:schemeClr val="tx1"/>
              </a:solidFill>
              <a:effectLst/>
              <a:latin typeface="+mn-lt"/>
              <a:ea typeface="+mn-ea"/>
              <a:cs typeface="+mn-cs"/>
            </a:rPr>
            <a:t>Bitte lesen</a:t>
          </a:r>
          <a:r>
            <a:rPr lang="de-DE" sz="1100" baseline="0">
              <a:solidFill>
                <a:schemeClr val="tx1"/>
              </a:solidFill>
              <a:effectLst/>
              <a:latin typeface="+mn-lt"/>
              <a:ea typeface="+mn-ea"/>
              <a:cs typeface="+mn-cs"/>
            </a:rPr>
            <a:t> Sie hierzu vor dem Ausfüllen des KdU-Tools  die  "</a:t>
          </a:r>
          <a:r>
            <a:rPr lang="de-DE" sz="1100" b="1">
              <a:solidFill>
                <a:schemeClr val="tx1"/>
              </a:solidFill>
              <a:effectLst/>
              <a:latin typeface="+mn-lt"/>
              <a:ea typeface="+mn-ea"/>
              <a:cs typeface="+mn-cs"/>
            </a:rPr>
            <a:t>Kurz-Ausfüllhilfe zum Übergangszeitraum 2020-2021</a:t>
          </a:r>
          <a:r>
            <a:rPr lang="de-DE" sz="1100">
              <a:solidFill>
                <a:schemeClr val="tx1"/>
              </a:solidFill>
              <a:effectLst/>
              <a:latin typeface="+mn-lt"/>
              <a:ea typeface="+mn-ea"/>
              <a:cs typeface="+mn-cs"/>
            </a:rPr>
            <a:t>"!</a:t>
          </a:r>
          <a:r>
            <a:rPr lang="de-DE" sz="1100" b="0" baseline="0">
              <a:solidFill>
                <a:sysClr val="windowText" lastClr="000000"/>
              </a:solidFill>
            </a:rPr>
            <a:t/>
          </a:r>
          <a:br>
            <a:rPr lang="de-DE" sz="1100" b="0" baseline="0">
              <a:solidFill>
                <a:sysClr val="windowText" lastClr="000000"/>
              </a:solidFill>
            </a:rPr>
          </a:br>
          <a:r>
            <a:rPr lang="de-DE" sz="900" b="0" i="1" baseline="0">
              <a:solidFill>
                <a:sysClr val="windowText" lastClr="000000"/>
              </a:solidFill>
            </a:rPr>
            <a:t>=&gt; Dieser Hinweis wird nicht mit ausgedruckt.</a:t>
          </a:r>
          <a:endParaRPr lang="de-DE" sz="900" b="0" i="1">
            <a:solidFill>
              <a:sysClr val="windowText" lastClr="000000"/>
            </a:solidFill>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76200</xdr:rowOff>
    </xdr:from>
    <xdr:to>
      <xdr:col>5</xdr:col>
      <xdr:colOff>0</xdr:colOff>
      <xdr:row>0</xdr:row>
      <xdr:rowOff>187961</xdr:rowOff>
    </xdr:to>
    <xdr:pic>
      <xdr:nvPicPr>
        <xdr:cNvPr id="4" name="Grafik 3">
          <a:extLst>
            <a:ext uri="{FF2B5EF4-FFF2-40B4-BE49-F238E27FC236}">
              <a16:creationId xmlns:a16="http://schemas.microsoft.com/office/drawing/2014/main" xmlns=""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57825" y="76200"/>
          <a:ext cx="0" cy="197486"/>
        </a:xfrm>
        <a:prstGeom prst="rect">
          <a:avLst/>
        </a:prstGeom>
      </xdr:spPr>
    </xdr:pic>
    <xdr:clientData/>
  </xdr:twoCellAnchor>
  <xdr:twoCellAnchor editAs="oneCell">
    <xdr:from>
      <xdr:col>5</xdr:col>
      <xdr:colOff>0</xdr:colOff>
      <xdr:row>0</xdr:row>
      <xdr:rowOff>76200</xdr:rowOff>
    </xdr:from>
    <xdr:to>
      <xdr:col>5</xdr:col>
      <xdr:colOff>0</xdr:colOff>
      <xdr:row>0</xdr:row>
      <xdr:rowOff>187961</xdr:rowOff>
    </xdr:to>
    <xdr:pic>
      <xdr:nvPicPr>
        <xdr:cNvPr id="6" name="Grafik 5">
          <a:extLst>
            <a:ext uri="{FF2B5EF4-FFF2-40B4-BE49-F238E27FC236}">
              <a16:creationId xmlns:a16="http://schemas.microsoft.com/office/drawing/2014/main" xmlns="" id="{00000000-0008-0000-04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5575" y="76200"/>
          <a:ext cx="0" cy="111761"/>
        </a:xfrm>
        <a:prstGeom prst="rect">
          <a:avLst/>
        </a:prstGeom>
      </xdr:spPr>
    </xdr:pic>
    <xdr:clientData/>
  </xdr:twoCellAnchor>
  <xdr:oneCellAnchor>
    <xdr:from>
      <xdr:col>9</xdr:col>
      <xdr:colOff>0</xdr:colOff>
      <xdr:row>1</xdr:row>
      <xdr:rowOff>66675</xdr:rowOff>
    </xdr:from>
    <xdr:ext cx="5124450" cy="1428750"/>
    <xdr:sp macro="" textlink="">
      <xdr:nvSpPr>
        <xdr:cNvPr id="5" name="Textfeld 4">
          <a:extLst>
            <a:ext uri="{FF2B5EF4-FFF2-40B4-BE49-F238E27FC236}">
              <a16:creationId xmlns:a16="http://schemas.microsoft.com/office/drawing/2014/main" xmlns="" id="{00000000-0008-0000-0100-000002000000}"/>
            </a:ext>
          </a:extLst>
        </xdr:cNvPr>
        <xdr:cNvSpPr txBox="1"/>
      </xdr:nvSpPr>
      <xdr:spPr>
        <a:xfrm>
          <a:off x="9896475" y="400050"/>
          <a:ext cx="5124450" cy="1428750"/>
        </a:xfrm>
        <a:prstGeom prst="rect">
          <a:avLst/>
        </a:prstGeom>
        <a:solidFill>
          <a:schemeClr val="accent5">
            <a:lumMod val="60000"/>
            <a:lumOff val="4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u="sng" baseline="0">
              <a:solidFill>
                <a:sysClr val="windowText" lastClr="000000"/>
              </a:solidFill>
            </a:rPr>
            <a:t>Hinweise zur Anwendung des KdU-Tools im Übergangszeitraum 2020-2021::</a:t>
          </a:r>
          <a:r>
            <a:rPr lang="de-DE" sz="1100" b="0" baseline="0">
              <a:solidFill>
                <a:sysClr val="windowText" lastClr="000000"/>
              </a:solidFill>
            </a:rPr>
            <a:t/>
          </a:r>
          <a:br>
            <a:rPr lang="de-DE" sz="1100" b="0" baseline="0">
              <a:solidFill>
                <a:sysClr val="windowText" lastClr="000000"/>
              </a:solidFill>
            </a:rPr>
          </a:br>
          <a:r>
            <a:rPr lang="de-DE" sz="1100">
              <a:solidFill>
                <a:schemeClr val="tx1"/>
              </a:solidFill>
              <a:effectLst/>
              <a:latin typeface="+mn-lt"/>
              <a:ea typeface="+mn-ea"/>
              <a:cs typeface="+mn-cs"/>
            </a:rPr>
            <a:t>„Eigene“ Infrastruktur (Straßen, Kanäle, Leitungen, usw.) größerer Standorte (Sonderinfrastruktur) wird gesondert erst nach Ende</a:t>
          </a:r>
          <a:r>
            <a:rPr lang="de-DE" sz="1100" baseline="0">
              <a:solidFill>
                <a:schemeClr val="tx1"/>
              </a:solidFill>
              <a:effectLst/>
              <a:latin typeface="+mn-lt"/>
              <a:ea typeface="+mn-ea"/>
              <a:cs typeface="+mn-cs"/>
            </a:rPr>
            <a:t> des</a:t>
          </a:r>
          <a:r>
            <a:rPr lang="de-DE" sz="1100">
              <a:solidFill>
                <a:schemeClr val="tx1"/>
              </a:solidFill>
              <a:effectLst/>
              <a:latin typeface="+mn-lt"/>
              <a:ea typeface="+mn-ea"/>
              <a:cs typeface="+mn-cs"/>
            </a:rPr>
            <a:t> Übergangszeitraum (dann bei Berechnung mit Ist-Kosten) berücksichtigt.</a:t>
          </a:r>
        </a:p>
        <a:p>
          <a:r>
            <a:rPr lang="de-DE" sz="1100" b="1" i="1">
              <a:solidFill>
                <a:schemeClr val="tx1"/>
              </a:solidFill>
              <a:effectLst/>
              <a:latin typeface="+mn-lt"/>
              <a:ea typeface="+mn-ea"/>
              <a:cs typeface="+mn-cs"/>
            </a:rPr>
            <a:t>Im Reiter B_2 sind im Übergangszeitraum deshalb </a:t>
          </a:r>
          <a:r>
            <a:rPr lang="de-DE" sz="1100" b="1" i="1" u="sng">
              <a:solidFill>
                <a:schemeClr val="tx1"/>
              </a:solidFill>
              <a:effectLst/>
              <a:latin typeface="+mn-lt"/>
              <a:ea typeface="+mn-ea"/>
              <a:cs typeface="+mn-cs"/>
            </a:rPr>
            <a:t>keine Eintragungen vorzunehmen</a:t>
          </a:r>
          <a:r>
            <a:rPr lang="de-DE" sz="1100">
              <a:solidFill>
                <a:schemeClr val="tx1"/>
              </a:solidFill>
              <a:effectLst/>
              <a:latin typeface="+mn-lt"/>
              <a:ea typeface="+mn-ea"/>
              <a:cs typeface="+mn-cs"/>
            </a:rPr>
            <a:t/>
          </a:r>
          <a:br>
            <a:rPr lang="de-DE" sz="1100">
              <a:solidFill>
                <a:schemeClr val="tx1"/>
              </a:solidFill>
              <a:effectLst/>
              <a:latin typeface="+mn-lt"/>
              <a:ea typeface="+mn-ea"/>
              <a:cs typeface="+mn-cs"/>
            </a:rPr>
          </a:br>
          <a:r>
            <a:rPr lang="de-DE" sz="1100">
              <a:solidFill>
                <a:schemeClr val="tx1"/>
              </a:solidFill>
              <a:effectLst/>
              <a:latin typeface="+mn-lt"/>
              <a:ea typeface="+mn-ea"/>
              <a:cs typeface="+mn-cs"/>
            </a:rPr>
            <a:t>Bitte lesen</a:t>
          </a:r>
          <a:r>
            <a:rPr lang="de-DE" sz="1100" baseline="0">
              <a:solidFill>
                <a:schemeClr val="tx1"/>
              </a:solidFill>
              <a:effectLst/>
              <a:latin typeface="+mn-lt"/>
              <a:ea typeface="+mn-ea"/>
              <a:cs typeface="+mn-cs"/>
            </a:rPr>
            <a:t> Sie hierzu vor dem Ausfüllen des KdU-Tools  die  "</a:t>
          </a:r>
          <a:r>
            <a:rPr lang="de-DE" sz="1100" b="1">
              <a:solidFill>
                <a:schemeClr val="tx1"/>
              </a:solidFill>
              <a:effectLst/>
              <a:latin typeface="+mn-lt"/>
              <a:ea typeface="+mn-ea"/>
              <a:cs typeface="+mn-cs"/>
            </a:rPr>
            <a:t>Kurz-Ausfüllhilfe zum Übergangszeitraum 2020-2021</a:t>
          </a:r>
          <a:r>
            <a:rPr lang="de-DE" sz="1100">
              <a:solidFill>
                <a:schemeClr val="tx1"/>
              </a:solidFill>
              <a:effectLst/>
              <a:latin typeface="+mn-lt"/>
              <a:ea typeface="+mn-ea"/>
              <a:cs typeface="+mn-cs"/>
            </a:rPr>
            <a:t>"!</a:t>
          </a:r>
          <a:r>
            <a:rPr lang="de-DE" sz="1100" b="0" baseline="0">
              <a:solidFill>
                <a:sysClr val="windowText" lastClr="000000"/>
              </a:solidFill>
            </a:rPr>
            <a:t/>
          </a:r>
          <a:br>
            <a:rPr lang="de-DE" sz="1100" b="0" baseline="0">
              <a:solidFill>
                <a:sysClr val="windowText" lastClr="000000"/>
              </a:solidFill>
            </a:rPr>
          </a:br>
          <a:r>
            <a:rPr lang="de-DE" sz="900" b="0" i="1" baseline="0">
              <a:solidFill>
                <a:sysClr val="windowText" lastClr="000000"/>
              </a:solidFill>
            </a:rPr>
            <a:t>=&gt; Dieser Hinweis wird nicht mit ausgedruckt.</a:t>
          </a:r>
          <a:endParaRPr lang="de-DE" sz="900" b="0" i="1">
            <a:solidFill>
              <a:sysClr val="windowText" lastClr="000000"/>
            </a:solidFill>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7</xdr:col>
      <xdr:colOff>9525</xdr:colOff>
      <xdr:row>0</xdr:row>
      <xdr:rowOff>152400</xdr:rowOff>
    </xdr:from>
    <xdr:ext cx="5124450" cy="1428750"/>
    <xdr:sp macro="" textlink="">
      <xdr:nvSpPr>
        <xdr:cNvPr id="2" name="Textfeld 1">
          <a:extLst>
            <a:ext uri="{FF2B5EF4-FFF2-40B4-BE49-F238E27FC236}">
              <a16:creationId xmlns:a16="http://schemas.microsoft.com/office/drawing/2014/main" xmlns="" id="{00000000-0008-0000-0100-000002000000}"/>
            </a:ext>
          </a:extLst>
        </xdr:cNvPr>
        <xdr:cNvSpPr txBox="1"/>
      </xdr:nvSpPr>
      <xdr:spPr>
        <a:xfrm>
          <a:off x="7505700" y="152400"/>
          <a:ext cx="5124450" cy="1428750"/>
        </a:xfrm>
        <a:prstGeom prst="rect">
          <a:avLst/>
        </a:prstGeom>
        <a:solidFill>
          <a:schemeClr val="accent5">
            <a:lumMod val="60000"/>
            <a:lumOff val="4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u="sng" baseline="0">
              <a:solidFill>
                <a:sysClr val="windowText" lastClr="000000"/>
              </a:solidFill>
            </a:rPr>
            <a:t>Hinweise zur Anwendung des KdU-Tools im Übergangszeitraum 2020-2021::</a:t>
          </a:r>
          <a:r>
            <a:rPr lang="de-DE" sz="1100" b="0" baseline="0">
              <a:solidFill>
                <a:sysClr val="windowText" lastClr="000000"/>
              </a:solidFill>
            </a:rPr>
            <a:t/>
          </a:r>
          <a:br>
            <a:rPr lang="de-DE" sz="1100" b="0" baseline="0">
              <a:solidFill>
                <a:sysClr val="windowText" lastClr="000000"/>
              </a:solidFill>
            </a:rPr>
          </a:br>
          <a:r>
            <a:rPr lang="de-DE" sz="1100">
              <a:solidFill>
                <a:schemeClr val="tx1"/>
              </a:solidFill>
              <a:effectLst/>
              <a:latin typeface="+mn-lt"/>
              <a:ea typeface="+mn-ea"/>
              <a:cs typeface="+mn-cs"/>
            </a:rPr>
            <a:t>In der Übergangsphase erfolgt die </a:t>
          </a:r>
          <a:r>
            <a:rPr lang="de-DE" sz="1100" b="1">
              <a:solidFill>
                <a:schemeClr val="tx1"/>
              </a:solidFill>
              <a:effectLst/>
              <a:latin typeface="+mn-lt"/>
              <a:ea typeface="+mn-ea"/>
              <a:cs typeface="+mn-cs"/>
            </a:rPr>
            <a:t>Ermittlung der Nebenkosten vereinfacht.</a:t>
          </a:r>
          <a:br>
            <a:rPr lang="de-DE" sz="1100" b="1">
              <a:solidFill>
                <a:schemeClr val="tx1"/>
              </a:solidFill>
              <a:effectLst/>
              <a:latin typeface="+mn-lt"/>
              <a:ea typeface="+mn-ea"/>
              <a:cs typeface="+mn-cs"/>
            </a:rPr>
          </a:br>
          <a:r>
            <a:rPr lang="de-DE" sz="1100" b="0">
              <a:solidFill>
                <a:schemeClr val="tx1"/>
              </a:solidFill>
              <a:effectLst/>
              <a:latin typeface="+mn-lt"/>
              <a:ea typeface="+mn-ea"/>
              <a:cs typeface="+mn-cs"/>
            </a:rPr>
            <a:t>Hierzu wird eine </a:t>
          </a:r>
          <a:r>
            <a:rPr lang="de-DE" sz="1100" b="1">
              <a:solidFill>
                <a:schemeClr val="tx1"/>
              </a:solidFill>
              <a:effectLst/>
              <a:latin typeface="+mn-lt"/>
              <a:ea typeface="+mn-ea"/>
              <a:cs typeface="+mn-cs"/>
            </a:rPr>
            <a:t>Excel-Tabelle „Nebenkosten Übergangszeit 2020-2021“</a:t>
          </a:r>
          <a:r>
            <a:rPr lang="de-DE" sz="1100">
              <a:solidFill>
                <a:schemeClr val="tx1"/>
              </a:solidFill>
              <a:effectLst/>
              <a:latin typeface="+mn-lt"/>
              <a:ea typeface="+mn-ea"/>
              <a:cs typeface="+mn-cs"/>
            </a:rPr>
            <a:t> zur Verfügung gestellt. </a:t>
          </a:r>
          <a:r>
            <a:rPr lang="de-DE" sz="1100" b="1">
              <a:solidFill>
                <a:schemeClr val="tx1"/>
              </a:solidFill>
              <a:effectLst/>
              <a:latin typeface="+mn-lt"/>
              <a:ea typeface="+mn-ea"/>
              <a:cs typeface="+mn-cs"/>
            </a:rPr>
            <a:t>Füllen</a:t>
          </a:r>
          <a:r>
            <a:rPr lang="de-DE" sz="1100" b="1" baseline="0">
              <a:solidFill>
                <a:schemeClr val="tx1"/>
              </a:solidFill>
              <a:effectLst/>
              <a:latin typeface="+mn-lt"/>
              <a:ea typeface="+mn-ea"/>
              <a:cs typeface="+mn-cs"/>
            </a:rPr>
            <a:t> Sie diese bitte zuerst aus</a:t>
          </a:r>
          <a:r>
            <a:rPr lang="de-DE" sz="1100" baseline="0">
              <a:solidFill>
                <a:schemeClr val="tx1"/>
              </a:solidFill>
              <a:effectLst/>
              <a:latin typeface="+mn-lt"/>
              <a:ea typeface="+mn-ea"/>
              <a:cs typeface="+mn-cs"/>
            </a:rPr>
            <a:t> und übernehmen Sie die sich ergebenden Werte in diesen Reiter.</a:t>
          </a:r>
          <a:r>
            <a:rPr lang="de-DE" sz="1100">
              <a:solidFill>
                <a:schemeClr val="tx1"/>
              </a:solidFill>
              <a:effectLst/>
              <a:latin typeface="+mn-lt"/>
              <a:ea typeface="+mn-ea"/>
              <a:cs typeface="+mn-cs"/>
            </a:rPr>
            <a:t/>
          </a:r>
          <a:br>
            <a:rPr lang="de-DE" sz="1100">
              <a:solidFill>
                <a:schemeClr val="tx1"/>
              </a:solidFill>
              <a:effectLst/>
              <a:latin typeface="+mn-lt"/>
              <a:ea typeface="+mn-ea"/>
              <a:cs typeface="+mn-cs"/>
            </a:rPr>
          </a:br>
          <a:r>
            <a:rPr lang="de-DE" sz="1100">
              <a:solidFill>
                <a:schemeClr val="tx1"/>
              </a:solidFill>
              <a:effectLst/>
              <a:latin typeface="+mn-lt"/>
              <a:ea typeface="+mn-ea"/>
              <a:cs typeface="+mn-cs"/>
            </a:rPr>
            <a:t>Bitte lesen</a:t>
          </a:r>
          <a:r>
            <a:rPr lang="de-DE" sz="1100" baseline="0">
              <a:solidFill>
                <a:schemeClr val="tx1"/>
              </a:solidFill>
              <a:effectLst/>
              <a:latin typeface="+mn-lt"/>
              <a:ea typeface="+mn-ea"/>
              <a:cs typeface="+mn-cs"/>
            </a:rPr>
            <a:t> Sie hierzu vor dem Ausfüllen des KdU-Tools  die  "</a:t>
          </a:r>
          <a:r>
            <a:rPr lang="de-DE" sz="1100" b="1">
              <a:solidFill>
                <a:schemeClr val="tx1"/>
              </a:solidFill>
              <a:effectLst/>
              <a:latin typeface="+mn-lt"/>
              <a:ea typeface="+mn-ea"/>
              <a:cs typeface="+mn-cs"/>
            </a:rPr>
            <a:t>Kurz-Ausfüllhilfe zum Übergangszeitraum 2020-2021</a:t>
          </a:r>
          <a:r>
            <a:rPr lang="de-DE" sz="1100">
              <a:solidFill>
                <a:schemeClr val="tx1"/>
              </a:solidFill>
              <a:effectLst/>
              <a:latin typeface="+mn-lt"/>
              <a:ea typeface="+mn-ea"/>
              <a:cs typeface="+mn-cs"/>
            </a:rPr>
            <a:t>"</a:t>
          </a:r>
          <a:r>
            <a:rPr lang="de-DE" sz="1100" baseline="0">
              <a:solidFill>
                <a:schemeClr val="tx1"/>
              </a:solidFill>
              <a:effectLst/>
              <a:latin typeface="+mn-lt"/>
              <a:ea typeface="+mn-ea"/>
              <a:cs typeface="+mn-cs"/>
            </a:rPr>
            <a:t> mit genauen Angaben zur Vorgehensweise!</a:t>
          </a:r>
          <a:r>
            <a:rPr lang="de-DE" sz="1100" b="0" baseline="0">
              <a:solidFill>
                <a:sysClr val="windowText" lastClr="000000"/>
              </a:solidFill>
            </a:rPr>
            <a:t/>
          </a:r>
          <a:br>
            <a:rPr lang="de-DE" sz="1100" b="0" baseline="0">
              <a:solidFill>
                <a:sysClr val="windowText" lastClr="000000"/>
              </a:solidFill>
            </a:rPr>
          </a:br>
          <a:r>
            <a:rPr lang="de-DE" sz="900" b="0" i="1" baseline="0">
              <a:solidFill>
                <a:sysClr val="windowText" lastClr="000000"/>
              </a:solidFill>
            </a:rPr>
            <a:t>=&gt; Dieser Hinweis wird nicht mit ausgedruckt.</a:t>
          </a:r>
          <a:endParaRPr lang="de-DE" sz="900" b="0" i="1">
            <a:solidFill>
              <a:sysClr val="windowText" lastClr="000000"/>
            </a:solidFill>
          </a:endParaRP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6</xdr:col>
      <xdr:colOff>9525</xdr:colOff>
      <xdr:row>1</xdr:row>
      <xdr:rowOff>0</xdr:rowOff>
    </xdr:from>
    <xdr:ext cx="5124450" cy="1428750"/>
    <xdr:sp macro="" textlink="">
      <xdr:nvSpPr>
        <xdr:cNvPr id="3" name="Textfeld 2">
          <a:extLst>
            <a:ext uri="{FF2B5EF4-FFF2-40B4-BE49-F238E27FC236}">
              <a16:creationId xmlns:a16="http://schemas.microsoft.com/office/drawing/2014/main" xmlns="" id="{00000000-0008-0000-0100-000002000000}"/>
            </a:ext>
          </a:extLst>
        </xdr:cNvPr>
        <xdr:cNvSpPr txBox="1"/>
      </xdr:nvSpPr>
      <xdr:spPr>
        <a:xfrm>
          <a:off x="6629400" y="333375"/>
          <a:ext cx="5124450" cy="1428750"/>
        </a:xfrm>
        <a:prstGeom prst="rect">
          <a:avLst/>
        </a:prstGeom>
        <a:solidFill>
          <a:schemeClr val="accent5">
            <a:lumMod val="60000"/>
            <a:lumOff val="4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u="sng" baseline="0">
              <a:solidFill>
                <a:sysClr val="windowText" lastClr="000000"/>
              </a:solidFill>
            </a:rPr>
            <a:t>Hinweise zur Anwendung des KdU-Tools im Übergangszeitraum 2020-2021::</a:t>
          </a:r>
          <a:r>
            <a:rPr lang="de-DE" sz="1100" b="0" baseline="0">
              <a:solidFill>
                <a:sysClr val="windowText" lastClr="000000"/>
              </a:solidFill>
            </a:rPr>
            <a:t/>
          </a:r>
          <a:br>
            <a:rPr lang="de-DE" sz="1100" b="0" baseline="0">
              <a:solidFill>
                <a:sysClr val="windowText" lastClr="000000"/>
              </a:solidFill>
            </a:rPr>
          </a:br>
          <a:r>
            <a:rPr lang="de-DE" sz="1100">
              <a:solidFill>
                <a:schemeClr val="tx1"/>
              </a:solidFill>
              <a:effectLst/>
              <a:latin typeface="+mn-lt"/>
              <a:ea typeface="+mn-ea"/>
              <a:cs typeface="+mn-cs"/>
            </a:rPr>
            <a:t>„Eigene“ Infrastruktur (Straßen, Kanäle, Leitungen, usw.) größerer Standorte (Sonderinfrastruktur) und somit auch deren Nebenkosten wird gesondert erst nach Ende</a:t>
          </a:r>
          <a:r>
            <a:rPr lang="de-DE" sz="1100" baseline="0">
              <a:solidFill>
                <a:schemeClr val="tx1"/>
              </a:solidFill>
              <a:effectLst/>
              <a:latin typeface="+mn-lt"/>
              <a:ea typeface="+mn-ea"/>
              <a:cs typeface="+mn-cs"/>
            </a:rPr>
            <a:t> des</a:t>
          </a:r>
          <a:r>
            <a:rPr lang="de-DE" sz="1100">
              <a:solidFill>
                <a:schemeClr val="tx1"/>
              </a:solidFill>
              <a:effectLst/>
              <a:latin typeface="+mn-lt"/>
              <a:ea typeface="+mn-ea"/>
              <a:cs typeface="+mn-cs"/>
            </a:rPr>
            <a:t> Übergangszeitraum (dann bei Berechnung mit Ist-Kosten) berücksichtigt.</a:t>
          </a:r>
        </a:p>
        <a:p>
          <a:r>
            <a:rPr lang="de-DE" sz="1100" b="1" i="1">
              <a:solidFill>
                <a:schemeClr val="tx1"/>
              </a:solidFill>
              <a:effectLst/>
              <a:latin typeface="+mn-lt"/>
              <a:ea typeface="+mn-ea"/>
              <a:cs typeface="+mn-cs"/>
            </a:rPr>
            <a:t>Im Reiter C_2 sind im Übergangszeitraum deshalb </a:t>
          </a:r>
          <a:r>
            <a:rPr lang="de-DE" sz="1100" b="1" i="1" u="sng">
              <a:solidFill>
                <a:schemeClr val="tx1"/>
              </a:solidFill>
              <a:effectLst/>
              <a:latin typeface="+mn-lt"/>
              <a:ea typeface="+mn-ea"/>
              <a:cs typeface="+mn-cs"/>
            </a:rPr>
            <a:t>keine Eintragungen vorzunehmen</a:t>
          </a:r>
          <a:r>
            <a:rPr lang="de-DE" sz="1100">
              <a:solidFill>
                <a:schemeClr val="tx1"/>
              </a:solidFill>
              <a:effectLst/>
              <a:latin typeface="+mn-lt"/>
              <a:ea typeface="+mn-ea"/>
              <a:cs typeface="+mn-cs"/>
            </a:rPr>
            <a:t/>
          </a:r>
          <a:br>
            <a:rPr lang="de-DE" sz="1100">
              <a:solidFill>
                <a:schemeClr val="tx1"/>
              </a:solidFill>
              <a:effectLst/>
              <a:latin typeface="+mn-lt"/>
              <a:ea typeface="+mn-ea"/>
              <a:cs typeface="+mn-cs"/>
            </a:rPr>
          </a:br>
          <a:r>
            <a:rPr lang="de-DE" sz="1100">
              <a:solidFill>
                <a:schemeClr val="tx1"/>
              </a:solidFill>
              <a:effectLst/>
              <a:latin typeface="+mn-lt"/>
              <a:ea typeface="+mn-ea"/>
              <a:cs typeface="+mn-cs"/>
            </a:rPr>
            <a:t>Bitte lesen</a:t>
          </a:r>
          <a:r>
            <a:rPr lang="de-DE" sz="1100" baseline="0">
              <a:solidFill>
                <a:schemeClr val="tx1"/>
              </a:solidFill>
              <a:effectLst/>
              <a:latin typeface="+mn-lt"/>
              <a:ea typeface="+mn-ea"/>
              <a:cs typeface="+mn-cs"/>
            </a:rPr>
            <a:t> Sie hierzu vor dem Ausfüllen des KdU-Tools  die  "</a:t>
          </a:r>
          <a:r>
            <a:rPr lang="de-DE" sz="1100" b="1">
              <a:solidFill>
                <a:schemeClr val="tx1"/>
              </a:solidFill>
              <a:effectLst/>
              <a:latin typeface="+mn-lt"/>
              <a:ea typeface="+mn-ea"/>
              <a:cs typeface="+mn-cs"/>
            </a:rPr>
            <a:t>Kurz-Ausfüllhilfe zum Übergangszeitraum 2020-2021</a:t>
          </a:r>
          <a:r>
            <a:rPr lang="de-DE" sz="1100">
              <a:solidFill>
                <a:schemeClr val="tx1"/>
              </a:solidFill>
              <a:effectLst/>
              <a:latin typeface="+mn-lt"/>
              <a:ea typeface="+mn-ea"/>
              <a:cs typeface="+mn-cs"/>
            </a:rPr>
            <a:t>"!</a:t>
          </a:r>
          <a:r>
            <a:rPr lang="de-DE" sz="1100" b="0" baseline="0">
              <a:solidFill>
                <a:sysClr val="windowText" lastClr="000000"/>
              </a:solidFill>
            </a:rPr>
            <a:t/>
          </a:r>
          <a:br>
            <a:rPr lang="de-DE" sz="1100" b="0" baseline="0">
              <a:solidFill>
                <a:sysClr val="windowText" lastClr="000000"/>
              </a:solidFill>
            </a:rPr>
          </a:br>
          <a:r>
            <a:rPr lang="de-DE" sz="900" b="0" i="1" baseline="0">
              <a:solidFill>
                <a:sysClr val="windowText" lastClr="000000"/>
              </a:solidFill>
            </a:rPr>
            <a:t>=&gt; Dieser Hinweis wird nicht mit ausgedruckt.</a:t>
          </a:r>
          <a:endParaRPr lang="de-DE" sz="900" b="0" i="1">
            <a:solidFill>
              <a:sysClr val="windowText" lastClr="000000"/>
            </a:solidFill>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0</xdr:row>
      <xdr:rowOff>85725</xdr:rowOff>
    </xdr:from>
    <xdr:to>
      <xdr:col>4</xdr:col>
      <xdr:colOff>0</xdr:colOff>
      <xdr:row>0</xdr:row>
      <xdr:rowOff>187961</xdr:rowOff>
    </xdr:to>
    <xdr:pic>
      <xdr:nvPicPr>
        <xdr:cNvPr id="3" name="Grafik 2">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85725"/>
          <a:ext cx="1302384" cy="197486"/>
        </a:xfrm>
        <a:prstGeom prst="rect">
          <a:avLst/>
        </a:prstGeom>
      </xdr:spPr>
    </xdr:pic>
    <xdr:clientData/>
  </xdr:twoCellAnchor>
  <xdr:oneCellAnchor>
    <xdr:from>
      <xdr:col>7</xdr:col>
      <xdr:colOff>0</xdr:colOff>
      <xdr:row>1</xdr:row>
      <xdr:rowOff>57150</xdr:rowOff>
    </xdr:from>
    <xdr:ext cx="5124450" cy="1457325"/>
    <xdr:sp macro="" textlink="">
      <xdr:nvSpPr>
        <xdr:cNvPr id="4" name="Textfeld 3">
          <a:extLst>
            <a:ext uri="{FF2B5EF4-FFF2-40B4-BE49-F238E27FC236}">
              <a16:creationId xmlns:a16="http://schemas.microsoft.com/office/drawing/2014/main" xmlns="" id="{00000000-0008-0000-0100-000002000000}"/>
            </a:ext>
          </a:extLst>
        </xdr:cNvPr>
        <xdr:cNvSpPr txBox="1"/>
      </xdr:nvSpPr>
      <xdr:spPr>
        <a:xfrm>
          <a:off x="7334250" y="390525"/>
          <a:ext cx="5124450" cy="1457325"/>
        </a:xfrm>
        <a:prstGeom prst="rect">
          <a:avLst/>
        </a:prstGeom>
        <a:solidFill>
          <a:schemeClr val="accent5">
            <a:lumMod val="60000"/>
            <a:lumOff val="4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u="sng" baseline="0">
              <a:solidFill>
                <a:sysClr val="windowText" lastClr="000000"/>
              </a:solidFill>
            </a:rPr>
            <a:t>Hinweise zur Anwendung des KdU-Tools im Übergangszeitraum 2020-2021::</a:t>
          </a:r>
          <a:r>
            <a:rPr lang="de-DE" sz="1100" b="0" baseline="0">
              <a:solidFill>
                <a:sysClr val="windowText" lastClr="000000"/>
              </a:solidFill>
            </a:rPr>
            <a:t/>
          </a:r>
          <a:br>
            <a:rPr lang="de-DE" sz="1100" b="0" baseline="0">
              <a:solidFill>
                <a:sysClr val="windowText" lastClr="000000"/>
              </a:solidFill>
            </a:rPr>
          </a:br>
          <a:r>
            <a:rPr lang="de-DE" sz="1100">
              <a:solidFill>
                <a:schemeClr val="tx1"/>
              </a:solidFill>
              <a:effectLst/>
              <a:latin typeface="+mn-lt"/>
              <a:ea typeface="+mn-ea"/>
              <a:cs typeface="+mn-cs"/>
            </a:rPr>
            <a:t>Ein Ansatz für Ausstattung ist im bisherigen IK-Satz bereits enthalten, der in Reiter B_1 erfasst wurde. Die so errechnete Kaltmiete beinhaltet im Übergangszeitraum damit auch automatisch die Ausstattung.</a:t>
          </a:r>
          <a:br>
            <a:rPr lang="de-DE" sz="1100">
              <a:solidFill>
                <a:schemeClr val="tx1"/>
              </a:solidFill>
              <a:effectLst/>
              <a:latin typeface="+mn-lt"/>
              <a:ea typeface="+mn-ea"/>
              <a:cs typeface="+mn-cs"/>
            </a:rPr>
          </a:br>
          <a:r>
            <a:rPr lang="de-DE" sz="1100" b="1" i="1">
              <a:solidFill>
                <a:schemeClr val="tx1"/>
              </a:solidFill>
              <a:effectLst/>
              <a:latin typeface="+mn-lt"/>
              <a:ea typeface="+mn-ea"/>
              <a:cs typeface="+mn-cs"/>
            </a:rPr>
            <a:t>Im Reiter D sind im Übergangszeitraum somit </a:t>
          </a:r>
          <a:r>
            <a:rPr lang="de-DE" sz="1100" b="1" i="1" u="sng">
              <a:solidFill>
                <a:schemeClr val="tx1"/>
              </a:solidFill>
              <a:effectLst/>
              <a:latin typeface="+mn-lt"/>
              <a:ea typeface="+mn-ea"/>
              <a:cs typeface="+mn-cs"/>
            </a:rPr>
            <a:t>keine Eintragungen</a:t>
          </a:r>
          <a:r>
            <a:rPr lang="de-DE" sz="1100" b="1" i="1">
              <a:solidFill>
                <a:schemeClr val="tx1"/>
              </a:solidFill>
              <a:effectLst/>
              <a:latin typeface="+mn-lt"/>
              <a:ea typeface="+mn-ea"/>
              <a:cs typeface="+mn-cs"/>
            </a:rPr>
            <a:t> vorzunehmen. </a:t>
          </a:r>
          <a:r>
            <a:rPr lang="de-DE" sz="1100">
              <a:solidFill>
                <a:schemeClr val="tx1"/>
              </a:solidFill>
              <a:effectLst/>
              <a:latin typeface="+mn-lt"/>
              <a:ea typeface="+mn-ea"/>
              <a:cs typeface="+mn-cs"/>
            </a:rPr>
            <a:t/>
          </a:r>
          <a:br>
            <a:rPr lang="de-DE" sz="1100">
              <a:solidFill>
                <a:schemeClr val="tx1"/>
              </a:solidFill>
              <a:effectLst/>
              <a:latin typeface="+mn-lt"/>
              <a:ea typeface="+mn-ea"/>
              <a:cs typeface="+mn-cs"/>
            </a:rPr>
          </a:br>
          <a:r>
            <a:rPr lang="de-DE" sz="1100">
              <a:solidFill>
                <a:schemeClr val="tx1"/>
              </a:solidFill>
              <a:effectLst/>
              <a:latin typeface="+mn-lt"/>
              <a:ea typeface="+mn-ea"/>
              <a:cs typeface="+mn-cs"/>
            </a:rPr>
            <a:t>Bitte lesen</a:t>
          </a:r>
          <a:r>
            <a:rPr lang="de-DE" sz="1100" baseline="0">
              <a:solidFill>
                <a:schemeClr val="tx1"/>
              </a:solidFill>
              <a:effectLst/>
              <a:latin typeface="+mn-lt"/>
              <a:ea typeface="+mn-ea"/>
              <a:cs typeface="+mn-cs"/>
            </a:rPr>
            <a:t> Sie hierzu vor dem Ausfüllen des KdU-Tools  die  "</a:t>
          </a:r>
          <a:r>
            <a:rPr lang="de-DE" sz="1100" b="1">
              <a:solidFill>
                <a:schemeClr val="tx1"/>
              </a:solidFill>
              <a:effectLst/>
              <a:latin typeface="+mn-lt"/>
              <a:ea typeface="+mn-ea"/>
              <a:cs typeface="+mn-cs"/>
            </a:rPr>
            <a:t>Kurz-Ausfüllhilfe zum Übergangszeitraum 2020-2021</a:t>
          </a:r>
          <a:r>
            <a:rPr lang="de-DE" sz="1100">
              <a:solidFill>
                <a:schemeClr val="tx1"/>
              </a:solidFill>
              <a:effectLst/>
              <a:latin typeface="+mn-lt"/>
              <a:ea typeface="+mn-ea"/>
              <a:cs typeface="+mn-cs"/>
            </a:rPr>
            <a:t>"!</a:t>
          </a:r>
          <a:r>
            <a:rPr lang="de-DE" sz="1100" b="0" baseline="0">
              <a:solidFill>
                <a:sysClr val="windowText" lastClr="000000"/>
              </a:solidFill>
            </a:rPr>
            <a:t/>
          </a:r>
          <a:br>
            <a:rPr lang="de-DE" sz="1100" b="0" baseline="0">
              <a:solidFill>
                <a:sysClr val="windowText" lastClr="000000"/>
              </a:solidFill>
            </a:rPr>
          </a:br>
          <a:r>
            <a:rPr lang="de-DE" sz="900" b="0" i="1" baseline="0">
              <a:solidFill>
                <a:sysClr val="windowText" lastClr="000000"/>
              </a:solidFill>
            </a:rPr>
            <a:t>=&gt; Dieser Hinweis wird nicht mit ausgedruckt.</a:t>
          </a:r>
          <a:endParaRPr lang="de-DE" sz="900" b="0" i="1">
            <a:solidFill>
              <a:sysClr val="windowText" lastClr="000000"/>
            </a:solidFill>
          </a:endParaRPr>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7</xdr:col>
      <xdr:colOff>9525</xdr:colOff>
      <xdr:row>23</xdr:row>
      <xdr:rowOff>320990</xdr:rowOff>
    </xdr:from>
    <xdr:ext cx="4733925" cy="650559"/>
    <xdr:sp macro="" textlink="">
      <xdr:nvSpPr>
        <xdr:cNvPr id="3" name="Textfeld 2">
          <a:extLst>
            <a:ext uri="{FF2B5EF4-FFF2-40B4-BE49-F238E27FC236}">
              <a16:creationId xmlns:a16="http://schemas.microsoft.com/office/drawing/2014/main" xmlns="" id="{00000000-0008-0000-0100-000002000000}"/>
            </a:ext>
          </a:extLst>
        </xdr:cNvPr>
        <xdr:cNvSpPr txBox="1"/>
      </xdr:nvSpPr>
      <xdr:spPr>
        <a:xfrm>
          <a:off x="7981950" y="6588440"/>
          <a:ext cx="4733925" cy="65055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Ab dieser Stelle sind im Reiter keine weiteren manuellen Eintragungen vorzunehmen. Alle Werte ergeben sich aus den Berechnungen der Reiter A - E, sowie obiger Festlegung der Kaltmiete für die Zimmertypen.</a:t>
          </a:r>
          <a:endParaRPr lang="de-DE" sz="1100" b="0"/>
        </a:p>
      </xdr:txBody>
    </xdr:sp>
    <xdr:clientData fPrintsWithSheet="0"/>
  </xdr:oneCellAnchor>
  <xdr:oneCellAnchor>
    <xdr:from>
      <xdr:col>7</xdr:col>
      <xdr:colOff>9525</xdr:colOff>
      <xdr:row>1</xdr:row>
      <xdr:rowOff>114300</xdr:rowOff>
    </xdr:from>
    <xdr:ext cx="5124450" cy="1619250"/>
    <xdr:sp macro="" textlink="">
      <xdr:nvSpPr>
        <xdr:cNvPr id="4" name="Textfeld 3">
          <a:extLst>
            <a:ext uri="{FF2B5EF4-FFF2-40B4-BE49-F238E27FC236}">
              <a16:creationId xmlns:a16="http://schemas.microsoft.com/office/drawing/2014/main" xmlns="" id="{00000000-0008-0000-0100-000002000000}"/>
            </a:ext>
          </a:extLst>
        </xdr:cNvPr>
        <xdr:cNvSpPr txBox="1"/>
      </xdr:nvSpPr>
      <xdr:spPr>
        <a:xfrm>
          <a:off x="8124825" y="447675"/>
          <a:ext cx="5124450" cy="1619250"/>
        </a:xfrm>
        <a:prstGeom prst="rect">
          <a:avLst/>
        </a:prstGeom>
        <a:solidFill>
          <a:schemeClr val="accent5">
            <a:lumMod val="60000"/>
            <a:lumOff val="4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u="sng" baseline="0">
              <a:solidFill>
                <a:sysClr val="windowText" lastClr="000000"/>
              </a:solidFill>
            </a:rPr>
            <a:t>Hinweise zur Anwendung des KdU-Tools im Übergangszeitraum 2020-2021::</a:t>
          </a:r>
          <a:r>
            <a:rPr lang="de-DE" sz="1100" b="0" baseline="0">
              <a:solidFill>
                <a:sysClr val="windowText" lastClr="000000"/>
              </a:solidFill>
            </a:rPr>
            <a:t/>
          </a:r>
          <a:br>
            <a:rPr lang="de-DE" sz="1100" b="0" baseline="0">
              <a:solidFill>
                <a:sysClr val="windowText" lastClr="000000"/>
              </a:solidFill>
            </a:rPr>
          </a:br>
          <a:r>
            <a:rPr lang="de-DE" sz="1100" b="0">
              <a:solidFill>
                <a:schemeClr val="tx1"/>
              </a:solidFill>
              <a:effectLst/>
              <a:latin typeface="+mn-lt"/>
              <a:ea typeface="+mn-ea"/>
              <a:cs typeface="+mn-cs"/>
            </a:rPr>
            <a:t>Die Rahmenvertrags-Partner haben vereinbart, dass während des Übergangszeitraums keine Differenzierung in verschiedene Zimmer-Kategorien erfolgt.</a:t>
          </a:r>
          <a:endParaRPr lang="de-DE" sz="1100">
            <a:solidFill>
              <a:schemeClr val="tx1"/>
            </a:solidFill>
            <a:effectLst/>
            <a:latin typeface="+mn-lt"/>
            <a:ea typeface="+mn-ea"/>
            <a:cs typeface="+mn-cs"/>
          </a:endParaRPr>
        </a:p>
        <a:p>
          <a:r>
            <a:rPr lang="de-DE" sz="1100" b="1" i="1">
              <a:solidFill>
                <a:schemeClr val="tx1"/>
              </a:solidFill>
              <a:effectLst/>
              <a:latin typeface="+mn-lt"/>
              <a:ea typeface="+mn-ea"/>
              <a:cs typeface="+mn-cs"/>
            </a:rPr>
            <a:t>Im Reiter Zimmer-Kategorien  sind im Übergangszeitraum somit </a:t>
          </a:r>
          <a:r>
            <a:rPr lang="de-DE" sz="1100" b="1" i="1" u="sng">
              <a:solidFill>
                <a:schemeClr val="tx1"/>
              </a:solidFill>
              <a:effectLst/>
              <a:latin typeface="+mn-lt"/>
              <a:ea typeface="+mn-ea"/>
              <a:cs typeface="+mn-cs"/>
            </a:rPr>
            <a:t>keine Eintragungen</a:t>
          </a:r>
          <a:r>
            <a:rPr lang="de-DE" sz="1100" b="1" i="1">
              <a:solidFill>
                <a:schemeClr val="tx1"/>
              </a:solidFill>
              <a:effectLst/>
              <a:latin typeface="+mn-lt"/>
              <a:ea typeface="+mn-ea"/>
              <a:cs typeface="+mn-cs"/>
            </a:rPr>
            <a:t> vorzunehmen. </a:t>
          </a:r>
          <a:r>
            <a:rPr lang="de-DE" sz="1100" b="0" i="0">
              <a:solidFill>
                <a:schemeClr val="tx1"/>
              </a:solidFill>
              <a:effectLst/>
              <a:latin typeface="+mn-lt"/>
              <a:ea typeface="+mn-ea"/>
              <a:cs typeface="+mn-cs"/>
            </a:rPr>
            <a:t>Die Ergebnisse werden vollständig im Reiter Ergebnis-Übersicht ausgewiesen.</a:t>
          </a:r>
          <a:r>
            <a:rPr lang="de-DE" sz="1100">
              <a:solidFill>
                <a:schemeClr val="tx1"/>
              </a:solidFill>
              <a:effectLst/>
              <a:latin typeface="+mn-lt"/>
              <a:ea typeface="+mn-ea"/>
              <a:cs typeface="+mn-cs"/>
            </a:rPr>
            <a:t/>
          </a:r>
          <a:br>
            <a:rPr lang="de-DE" sz="1100">
              <a:solidFill>
                <a:schemeClr val="tx1"/>
              </a:solidFill>
              <a:effectLst/>
              <a:latin typeface="+mn-lt"/>
              <a:ea typeface="+mn-ea"/>
              <a:cs typeface="+mn-cs"/>
            </a:rPr>
          </a:br>
          <a:r>
            <a:rPr lang="de-DE" sz="1100">
              <a:solidFill>
                <a:schemeClr val="tx1"/>
              </a:solidFill>
              <a:effectLst/>
              <a:latin typeface="+mn-lt"/>
              <a:ea typeface="+mn-ea"/>
              <a:cs typeface="+mn-cs"/>
            </a:rPr>
            <a:t>Bitte lesen</a:t>
          </a:r>
          <a:r>
            <a:rPr lang="de-DE" sz="1100" baseline="0">
              <a:solidFill>
                <a:schemeClr val="tx1"/>
              </a:solidFill>
              <a:effectLst/>
              <a:latin typeface="+mn-lt"/>
              <a:ea typeface="+mn-ea"/>
              <a:cs typeface="+mn-cs"/>
            </a:rPr>
            <a:t> Sie hierzu vor dem Ausfüllen des KdU-Tools  die  "</a:t>
          </a:r>
          <a:r>
            <a:rPr lang="de-DE" sz="1100" b="1">
              <a:solidFill>
                <a:schemeClr val="tx1"/>
              </a:solidFill>
              <a:effectLst/>
              <a:latin typeface="+mn-lt"/>
              <a:ea typeface="+mn-ea"/>
              <a:cs typeface="+mn-cs"/>
            </a:rPr>
            <a:t>Kurz-Ausfüllhilfe zum Übergangszeitraum 2020-2021</a:t>
          </a:r>
          <a:r>
            <a:rPr lang="de-DE" sz="1100">
              <a:solidFill>
                <a:schemeClr val="tx1"/>
              </a:solidFill>
              <a:effectLst/>
              <a:latin typeface="+mn-lt"/>
              <a:ea typeface="+mn-ea"/>
              <a:cs typeface="+mn-cs"/>
            </a:rPr>
            <a:t>"!</a:t>
          </a:r>
          <a:r>
            <a:rPr lang="de-DE" sz="1100" b="0" baseline="0">
              <a:solidFill>
                <a:sysClr val="windowText" lastClr="000000"/>
              </a:solidFill>
            </a:rPr>
            <a:t/>
          </a:r>
          <a:br>
            <a:rPr lang="de-DE" sz="1100" b="0" baseline="0">
              <a:solidFill>
                <a:sysClr val="windowText" lastClr="000000"/>
              </a:solidFill>
            </a:rPr>
          </a:br>
          <a:r>
            <a:rPr lang="de-DE" sz="900" b="0" i="1" baseline="0">
              <a:solidFill>
                <a:sysClr val="windowText" lastClr="000000"/>
              </a:solidFill>
            </a:rPr>
            <a:t>=&gt; Dieser Hinweis wird nicht mit ausgedruckt.</a:t>
          </a:r>
          <a:endParaRPr lang="de-DE" sz="900" b="0" i="1">
            <a:solidFill>
              <a:sysClr val="windowText" lastClr="000000"/>
            </a:solidFill>
          </a:endParaRPr>
        </a:p>
      </xdr:txBody>
    </xdr:sp>
    <xdr:clientData fPrintsWithSheet="0"/>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abSelected="1" zoomScaleNormal="100" workbookViewId="0">
      <selection activeCell="B5" sqref="B5"/>
    </sheetView>
  </sheetViews>
  <sheetFormatPr baseColWidth="10" defaultRowHeight="15" x14ac:dyDescent="0.25"/>
  <cols>
    <col min="1" max="1" width="28.42578125" style="67" customWidth="1"/>
    <col min="2" max="2" width="30.85546875" style="67" customWidth="1"/>
    <col min="3" max="3" width="19.42578125" style="67" customWidth="1"/>
    <col min="4" max="4" width="10.85546875" style="67" customWidth="1"/>
    <col min="5" max="16384" width="11.42578125" style="67"/>
  </cols>
  <sheetData>
    <row r="1" spans="1:4" ht="26.25" x14ac:dyDescent="0.4">
      <c r="A1" s="64" t="s">
        <v>108</v>
      </c>
      <c r="B1" s="65"/>
      <c r="C1" s="65"/>
      <c r="D1" s="66"/>
    </row>
    <row r="2" spans="1:4" ht="26.25" x14ac:dyDescent="0.4">
      <c r="A2" s="68" t="s">
        <v>498</v>
      </c>
      <c r="B2" s="69"/>
      <c r="C2" s="69"/>
      <c r="D2" s="70" t="s">
        <v>258</v>
      </c>
    </row>
    <row r="3" spans="1:4" x14ac:dyDescent="0.25">
      <c r="A3" s="143" t="str">
        <f>+B5</f>
        <v>Wohnheim Musterdorf</v>
      </c>
      <c r="B3" s="144" t="str">
        <f>+B6</f>
        <v>Beispiel-Landkreis</v>
      </c>
      <c r="C3" s="71" t="s">
        <v>45</v>
      </c>
      <c r="D3" s="72"/>
    </row>
    <row r="4" spans="1:4" ht="26.25" x14ac:dyDescent="0.4">
      <c r="A4" s="68"/>
      <c r="B4" s="69"/>
      <c r="C4" s="69"/>
      <c r="D4" s="73"/>
    </row>
    <row r="5" spans="1:4" x14ac:dyDescent="0.25">
      <c r="A5" s="142" t="s">
        <v>173</v>
      </c>
      <c r="B5" s="75" t="s">
        <v>259</v>
      </c>
      <c r="C5" s="69"/>
      <c r="D5" s="73"/>
    </row>
    <row r="6" spans="1:4" x14ac:dyDescent="0.25">
      <c r="A6" s="142" t="s">
        <v>174</v>
      </c>
      <c r="B6" s="75" t="s">
        <v>260</v>
      </c>
      <c r="C6" s="69"/>
      <c r="D6" s="73"/>
    </row>
    <row r="7" spans="1:4" x14ac:dyDescent="0.25">
      <c r="A7" s="142" t="s">
        <v>175</v>
      </c>
      <c r="B7" s="75">
        <v>24</v>
      </c>
      <c r="C7" s="69"/>
      <c r="D7" s="73"/>
    </row>
    <row r="8" spans="1:4" x14ac:dyDescent="0.25">
      <c r="A8" s="31" t="s">
        <v>472</v>
      </c>
      <c r="B8" s="77">
        <v>2014</v>
      </c>
      <c r="C8" s="69"/>
      <c r="D8" s="73"/>
    </row>
    <row r="9" spans="1:4" x14ac:dyDescent="0.25">
      <c r="A9" s="78"/>
      <c r="B9" s="69"/>
      <c r="C9" s="69"/>
      <c r="D9" s="73"/>
    </row>
    <row r="10" spans="1:4" x14ac:dyDescent="0.25">
      <c r="A10" s="79" t="s">
        <v>478</v>
      </c>
      <c r="B10" s="69"/>
      <c r="C10" s="69"/>
      <c r="D10" s="73"/>
    </row>
    <row r="11" spans="1:4" x14ac:dyDescent="0.25">
      <c r="A11" s="78"/>
      <c r="B11" s="69"/>
      <c r="C11" s="69"/>
      <c r="D11" s="73"/>
    </row>
    <row r="12" spans="1:4" x14ac:dyDescent="0.25">
      <c r="A12" s="78"/>
      <c r="B12" s="69"/>
      <c r="C12" s="69"/>
      <c r="D12" s="73"/>
    </row>
    <row r="13" spans="1:4" x14ac:dyDescent="0.25">
      <c r="A13" s="78"/>
      <c r="B13" s="69"/>
      <c r="C13" s="69"/>
      <c r="D13" s="73"/>
    </row>
    <row r="14" spans="1:4" x14ac:dyDescent="0.25">
      <c r="A14" s="78"/>
      <c r="B14" s="69"/>
      <c r="C14" s="69"/>
      <c r="D14" s="73"/>
    </row>
    <row r="15" spans="1:4" x14ac:dyDescent="0.25">
      <c r="A15" s="78"/>
      <c r="B15" s="69"/>
      <c r="C15" s="69"/>
      <c r="D15" s="73"/>
    </row>
    <row r="16" spans="1:4" x14ac:dyDescent="0.25">
      <c r="A16" s="78"/>
      <c r="B16" s="69"/>
      <c r="C16" s="69"/>
      <c r="D16" s="73"/>
    </row>
    <row r="17" spans="1:4" x14ac:dyDescent="0.25">
      <c r="A17" s="78"/>
      <c r="B17" s="69"/>
      <c r="C17" s="69"/>
      <c r="D17" s="73"/>
    </row>
    <row r="18" spans="1:4" x14ac:dyDescent="0.25">
      <c r="A18" s="78"/>
      <c r="B18" s="69"/>
      <c r="C18" s="69"/>
      <c r="D18" s="73"/>
    </row>
    <row r="19" spans="1:4" x14ac:dyDescent="0.25">
      <c r="A19" s="78"/>
      <c r="B19" s="69"/>
      <c r="C19" s="69"/>
      <c r="D19" s="73"/>
    </row>
    <row r="20" spans="1:4" x14ac:dyDescent="0.25">
      <c r="A20" s="78"/>
      <c r="B20" s="69"/>
      <c r="C20" s="69"/>
      <c r="D20" s="73"/>
    </row>
    <row r="21" spans="1:4" x14ac:dyDescent="0.25">
      <c r="A21" s="78"/>
      <c r="B21" s="69"/>
      <c r="C21" s="69"/>
      <c r="D21" s="73"/>
    </row>
    <row r="22" spans="1:4" x14ac:dyDescent="0.25">
      <c r="A22" s="78"/>
      <c r="B22" s="69"/>
      <c r="C22" s="69"/>
      <c r="D22" s="73"/>
    </row>
    <row r="23" spans="1:4" x14ac:dyDescent="0.25">
      <c r="A23" s="78"/>
      <c r="B23" s="69"/>
      <c r="C23" s="69"/>
      <c r="D23" s="73"/>
    </row>
    <row r="24" spans="1:4" x14ac:dyDescent="0.25">
      <c r="A24" s="78"/>
      <c r="B24" s="69"/>
      <c r="C24" s="69"/>
      <c r="D24" s="73"/>
    </row>
    <row r="25" spans="1:4" x14ac:dyDescent="0.25">
      <c r="A25" s="78"/>
      <c r="B25" s="69"/>
      <c r="C25" s="69"/>
      <c r="D25" s="73"/>
    </row>
    <row r="26" spans="1:4" x14ac:dyDescent="0.25">
      <c r="A26" s="78"/>
      <c r="B26" s="69"/>
      <c r="C26" s="69"/>
      <c r="D26" s="73"/>
    </row>
    <row r="27" spans="1:4" x14ac:dyDescent="0.25">
      <c r="A27" s="78"/>
      <c r="B27" s="69"/>
      <c r="C27" s="69"/>
      <c r="D27" s="73"/>
    </row>
    <row r="28" spans="1:4" x14ac:dyDescent="0.25">
      <c r="A28" s="78"/>
      <c r="B28" s="69"/>
      <c r="C28" s="69"/>
      <c r="D28" s="73"/>
    </row>
    <row r="29" spans="1:4" x14ac:dyDescent="0.25">
      <c r="A29" s="78"/>
      <c r="B29" s="69"/>
      <c r="C29" s="69"/>
      <c r="D29" s="73"/>
    </row>
    <row r="30" spans="1:4" x14ac:dyDescent="0.25">
      <c r="A30" s="78"/>
      <c r="B30" s="69"/>
      <c r="C30" s="69"/>
      <c r="D30" s="73"/>
    </row>
    <row r="31" spans="1:4" x14ac:dyDescent="0.25">
      <c r="A31" s="78"/>
      <c r="B31" s="69"/>
      <c r="C31" s="69"/>
      <c r="D31" s="73"/>
    </row>
    <row r="32" spans="1:4" x14ac:dyDescent="0.25">
      <c r="A32" s="78"/>
      <c r="B32" s="69"/>
      <c r="C32" s="69"/>
      <c r="D32" s="73"/>
    </row>
    <row r="33" spans="1:4" x14ac:dyDescent="0.25">
      <c r="A33" s="78"/>
      <c r="B33" s="69"/>
      <c r="C33" s="69"/>
      <c r="D33" s="73"/>
    </row>
    <row r="34" spans="1:4" x14ac:dyDescent="0.25">
      <c r="A34" s="78"/>
      <c r="B34" s="69"/>
      <c r="C34" s="69"/>
      <c r="D34" s="73"/>
    </row>
    <row r="35" spans="1:4" x14ac:dyDescent="0.25">
      <c r="A35" s="78"/>
      <c r="B35" s="69"/>
      <c r="C35" s="69"/>
      <c r="D35" s="73"/>
    </row>
    <row r="36" spans="1:4" x14ac:dyDescent="0.25">
      <c r="A36" s="78"/>
      <c r="B36" s="69"/>
      <c r="C36" s="69"/>
      <c r="D36" s="73"/>
    </row>
    <row r="37" spans="1:4" x14ac:dyDescent="0.25">
      <c r="A37" s="78"/>
      <c r="B37" s="69"/>
      <c r="C37" s="69"/>
      <c r="D37" s="73"/>
    </row>
    <row r="38" spans="1:4" x14ac:dyDescent="0.25">
      <c r="A38" s="78"/>
      <c r="B38" s="69"/>
      <c r="C38" s="69"/>
      <c r="D38" s="73"/>
    </row>
    <row r="39" spans="1:4" x14ac:dyDescent="0.25">
      <c r="A39" s="78"/>
      <c r="B39" s="69"/>
      <c r="C39" s="69"/>
      <c r="D39" s="73"/>
    </row>
    <row r="40" spans="1:4" x14ac:dyDescent="0.25">
      <c r="A40" s="80"/>
      <c r="B40" s="81"/>
      <c r="C40" s="81"/>
      <c r="D40" s="82"/>
    </row>
  </sheetData>
  <sheetProtection sheet="1" objects="1" scenarios="1"/>
  <pageMargins left="0.7" right="0.7" top="0.78740157499999996" bottom="0.78740157499999996" header="0.3" footer="0.3"/>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K105"/>
  <sheetViews>
    <sheetView zoomScaleNormal="100" workbookViewId="0">
      <selection activeCell="A5" sqref="A5"/>
    </sheetView>
  </sheetViews>
  <sheetFormatPr baseColWidth="10" defaultRowHeight="15" x14ac:dyDescent="0.25"/>
  <cols>
    <col min="1" max="1" width="4.5703125" style="67" customWidth="1"/>
    <col min="2" max="2" width="38" style="67" customWidth="1"/>
    <col min="3" max="3" width="17.85546875" style="67" customWidth="1"/>
    <col min="4" max="4" width="18.140625" style="67" customWidth="1"/>
    <col min="5" max="5" width="17.85546875" style="67" customWidth="1"/>
    <col min="6" max="6" width="19" style="67" customWidth="1"/>
    <col min="7" max="7" width="6.28515625" style="67" customWidth="1"/>
    <col min="8" max="8" width="9" style="67" customWidth="1"/>
    <col min="9" max="9" width="11.42578125" style="67"/>
    <col min="10" max="10" width="15.42578125" style="67" customWidth="1"/>
    <col min="11" max="16384" width="11.42578125" style="67"/>
  </cols>
  <sheetData>
    <row r="1" spans="1:11" s="188" customFormat="1" ht="26.25" x14ac:dyDescent="0.4">
      <c r="A1" s="83" t="s">
        <v>108</v>
      </c>
      <c r="B1" s="853"/>
      <c r="C1" s="84"/>
      <c r="D1" s="84"/>
      <c r="E1" s="84"/>
      <c r="F1" s="854"/>
    </row>
    <row r="2" spans="1:11" s="188" customFormat="1" ht="26.25" x14ac:dyDescent="0.4">
      <c r="A2" s="87" t="s">
        <v>451</v>
      </c>
      <c r="B2" s="855"/>
      <c r="C2" s="88"/>
      <c r="D2" s="88"/>
      <c r="E2" s="88"/>
      <c r="F2" s="89" t="str">
        <f>+Stammdaten!D2</f>
        <v>Version 1.3</v>
      </c>
    </row>
    <row r="3" spans="1:11" s="188" customFormat="1" ht="19.5" thickBot="1" x14ac:dyDescent="0.35">
      <c r="A3" s="4" t="str">
        <f>+Stammdaten!A3</f>
        <v>Wohnheim Musterdorf</v>
      </c>
      <c r="B3" s="856"/>
      <c r="C3" s="5"/>
      <c r="D3" s="6" t="str">
        <f>+Stammdaten!B3</f>
        <v>Beispiel-Landkreis</v>
      </c>
      <c r="E3" s="857"/>
      <c r="F3" s="858" t="s">
        <v>45</v>
      </c>
    </row>
    <row r="4" spans="1:11" s="188" customFormat="1" ht="90.75" customHeight="1" thickBot="1" x14ac:dyDescent="0.3">
      <c r="A4" s="1049" t="s">
        <v>470</v>
      </c>
      <c r="B4" s="1050"/>
      <c r="C4" s="1051"/>
      <c r="D4" s="1051"/>
      <c r="E4" s="1051"/>
      <c r="F4" s="1052"/>
      <c r="H4" s="536"/>
    </row>
    <row r="5" spans="1:11" s="188" customFormat="1" ht="19.5" customHeight="1" x14ac:dyDescent="0.4">
      <c r="A5" s="87"/>
      <c r="B5" s="855"/>
      <c r="C5" s="88"/>
      <c r="D5" s="88"/>
      <c r="E5" s="88"/>
      <c r="F5" s="93"/>
      <c r="H5" s="536"/>
      <c r="K5" s="574"/>
    </row>
    <row r="6" spans="1:11" s="188" customFormat="1" x14ac:dyDescent="0.25">
      <c r="A6" s="396" t="s">
        <v>454</v>
      </c>
      <c r="B6" s="859"/>
      <c r="C6" s="860"/>
      <c r="D6" s="533"/>
      <c r="E6" s="8">
        <f>+'E Mietber.'!H8</f>
        <v>396.22798633085978</v>
      </c>
      <c r="F6" s="93"/>
      <c r="H6" s="536"/>
      <c r="K6" s="574"/>
    </row>
    <row r="7" spans="1:11" s="188" customFormat="1" x14ac:dyDescent="0.25">
      <c r="A7" s="396" t="s">
        <v>455</v>
      </c>
      <c r="B7" s="859"/>
      <c r="C7" s="860"/>
      <c r="D7" s="533"/>
      <c r="E7" s="9">
        <f>+Stammdaten!B7</f>
        <v>24</v>
      </c>
      <c r="F7" s="93"/>
      <c r="H7" s="536"/>
      <c r="K7" s="574"/>
    </row>
    <row r="8" spans="1:11" s="188" customFormat="1" x14ac:dyDescent="0.25">
      <c r="A8" s="396" t="s">
        <v>456</v>
      </c>
      <c r="B8" s="859"/>
      <c r="C8" s="860"/>
      <c r="D8" s="533"/>
      <c r="E8" s="8">
        <f>+E6*E7</f>
        <v>9509.4716719406351</v>
      </c>
      <c r="F8" s="93"/>
      <c r="H8" s="536"/>
      <c r="K8" s="574"/>
    </row>
    <row r="9" spans="1:11" s="188" customFormat="1" ht="15.75" thickBot="1" x14ac:dyDescent="0.3">
      <c r="A9" s="365"/>
      <c r="B9" s="861"/>
      <c r="C9" s="88"/>
      <c r="D9" s="88"/>
      <c r="E9" s="3"/>
      <c r="F9" s="93"/>
      <c r="H9" s="536"/>
      <c r="K9" s="574"/>
    </row>
    <row r="10" spans="1:11" s="188" customFormat="1" ht="18.75" x14ac:dyDescent="0.3">
      <c r="A10" s="969"/>
      <c r="B10" s="862" t="s">
        <v>463</v>
      </c>
      <c r="C10" s="863"/>
      <c r="D10" s="863"/>
      <c r="E10" s="864"/>
      <c r="F10" s="93"/>
      <c r="H10" s="536"/>
      <c r="K10" s="574"/>
    </row>
    <row r="11" spans="1:11" s="188" customFormat="1" ht="15.75" thickBot="1" x14ac:dyDescent="0.3">
      <c r="A11" s="1053"/>
      <c r="B11" s="865" t="s">
        <v>464</v>
      </c>
      <c r="C11" s="866"/>
      <c r="D11" s="866"/>
      <c r="E11" s="867"/>
      <c r="F11" s="93"/>
      <c r="H11" s="536"/>
      <c r="K11" s="574"/>
    </row>
    <row r="12" spans="1:11" s="188" customFormat="1" x14ac:dyDescent="0.25">
      <c r="A12" s="365" t="s">
        <v>457</v>
      </c>
      <c r="B12" s="861"/>
      <c r="C12" s="88" t="s">
        <v>467</v>
      </c>
      <c r="D12" s="868" t="s">
        <v>175</v>
      </c>
      <c r="E12" s="869"/>
      <c r="F12" s="93"/>
      <c r="H12" s="536"/>
      <c r="K12" s="574"/>
    </row>
    <row r="13" spans="1:11" s="188" customFormat="1" ht="18.75" x14ac:dyDescent="0.3">
      <c r="A13" s="1054" t="s">
        <v>452</v>
      </c>
      <c r="B13" s="991"/>
      <c r="C13" s="870"/>
      <c r="D13" s="871"/>
      <c r="E13" s="10">
        <f>+D13*C13</f>
        <v>0</v>
      </c>
      <c r="F13" s="93"/>
      <c r="H13" s="536"/>
      <c r="K13" s="574"/>
    </row>
    <row r="14" spans="1:11" s="188" customFormat="1" ht="19.5" thickBot="1" x14ac:dyDescent="0.35">
      <c r="A14" s="1055" t="s">
        <v>453</v>
      </c>
      <c r="B14" s="1056"/>
      <c r="C14" s="62">
        <f>IF((D14)&gt;0,(E8-E13)/D14,0)</f>
        <v>396.22798633085978</v>
      </c>
      <c r="D14" s="11">
        <f>IF((E7-D13)&gt;0,E7-D13,0)</f>
        <v>24</v>
      </c>
      <c r="E14" s="12">
        <f t="shared" ref="E14" si="0">+D14*C14</f>
        <v>9509.4716719406351</v>
      </c>
      <c r="F14" s="93"/>
      <c r="H14" s="893" t="str">
        <f>IF(A10="X",D15-E7,"")</f>
        <v/>
      </c>
      <c r="I14" s="894" t="str">
        <f>IF(A10="x","Kontrolle Platzzahl","")</f>
        <v/>
      </c>
      <c r="K14" s="574"/>
    </row>
    <row r="15" spans="1:11" s="188" customFormat="1" ht="16.5" thickTop="1" thickBot="1" x14ac:dyDescent="0.3">
      <c r="A15" s="873"/>
      <c r="B15" s="874" t="s">
        <v>469</v>
      </c>
      <c r="C15" s="59">
        <f>+(C13*D13+C14*D14)/D15</f>
        <v>396.22798633085978</v>
      </c>
      <c r="D15" s="60">
        <f>+SUM(D13:D14)</f>
        <v>24</v>
      </c>
      <c r="E15" s="61">
        <f>+SUM(E13:E14)</f>
        <v>9509.4716719406351</v>
      </c>
      <c r="F15" s="93"/>
      <c r="H15" s="895" t="str">
        <f>IF(A10="X",E6-C15,"")</f>
        <v/>
      </c>
      <c r="I15" s="894" t="str">
        <f>IF(A10="X","Kontrolle Kaltmiete pro Platz","")</f>
        <v/>
      </c>
      <c r="K15" s="574"/>
    </row>
    <row r="16" spans="1:11" ht="15.75" thickBot="1" x14ac:dyDescent="0.3">
      <c r="A16" s="904" t="str">
        <f>+IF(AND(A10="x",A17="x"),"Bitte wählen Sie ENTWEDER 2 ODER 3 Zimmerkategorien","")</f>
        <v/>
      </c>
      <c r="B16" s="875"/>
      <c r="C16" s="875"/>
      <c r="D16" s="875"/>
      <c r="E16" s="875"/>
      <c r="F16" s="105"/>
      <c r="G16" s="85"/>
      <c r="H16" s="895" t="str">
        <f>IF(A10="X",E8-E15,"")</f>
        <v/>
      </c>
      <c r="I16" s="894" t="str">
        <f>IF(A10="X","Kontrolle Kaltmiete gesamt","")</f>
        <v/>
      </c>
      <c r="K16" s="94"/>
    </row>
    <row r="17" spans="1:11" s="188" customFormat="1" ht="18.75" x14ac:dyDescent="0.3">
      <c r="A17" s="969" t="s">
        <v>86</v>
      </c>
      <c r="B17" s="862" t="s">
        <v>462</v>
      </c>
      <c r="C17" s="863"/>
      <c r="D17" s="863"/>
      <c r="E17" s="864"/>
      <c r="F17" s="93"/>
      <c r="H17" s="536"/>
      <c r="K17" s="574"/>
    </row>
    <row r="18" spans="1:11" s="188" customFormat="1" ht="15.75" thickBot="1" x14ac:dyDescent="0.3">
      <c r="A18" s="1053"/>
      <c r="B18" s="865" t="s">
        <v>461</v>
      </c>
      <c r="C18" s="866"/>
      <c r="D18" s="866"/>
      <c r="E18" s="867"/>
      <c r="F18" s="93"/>
      <c r="H18" s="536"/>
      <c r="K18" s="574"/>
    </row>
    <row r="19" spans="1:11" s="188" customFormat="1" x14ac:dyDescent="0.25">
      <c r="A19" s="365" t="s">
        <v>457</v>
      </c>
      <c r="B19" s="861"/>
      <c r="C19" s="88" t="s">
        <v>467</v>
      </c>
      <c r="D19" s="868" t="s">
        <v>175</v>
      </c>
      <c r="E19" s="869"/>
      <c r="F19" s="93"/>
      <c r="H19" s="536"/>
      <c r="K19" s="574"/>
    </row>
    <row r="20" spans="1:11" s="188" customFormat="1" ht="18.75" x14ac:dyDescent="0.3">
      <c r="A20" s="1054" t="s">
        <v>506</v>
      </c>
      <c r="B20" s="991"/>
      <c r="C20" s="870">
        <v>410</v>
      </c>
      <c r="D20" s="871">
        <v>4</v>
      </c>
      <c r="E20" s="10">
        <f>+D20*C20</f>
        <v>1640</v>
      </c>
      <c r="F20" s="93"/>
      <c r="H20" s="536"/>
      <c r="K20" s="574"/>
    </row>
    <row r="21" spans="1:11" s="188" customFormat="1" ht="18.75" x14ac:dyDescent="0.3">
      <c r="A21" s="1054" t="s">
        <v>504</v>
      </c>
      <c r="B21" s="991"/>
      <c r="C21" s="870">
        <v>370</v>
      </c>
      <c r="D21" s="871">
        <v>12</v>
      </c>
      <c r="E21" s="10">
        <f>+D21*C21</f>
        <v>4440</v>
      </c>
      <c r="F21" s="93"/>
      <c r="H21" s="536"/>
      <c r="K21" s="574"/>
    </row>
    <row r="22" spans="1:11" s="188" customFormat="1" ht="19.5" thickBot="1" x14ac:dyDescent="0.35">
      <c r="A22" s="1055" t="s">
        <v>505</v>
      </c>
      <c r="B22" s="1056"/>
      <c r="C22" s="62">
        <f>IF((D22)&gt;0,(E8-E20-E21)/D22,0)</f>
        <v>428.68395899257939</v>
      </c>
      <c r="D22" s="11">
        <f>IF((E7-D20-D21)&gt;0,E7-D20-D21,0)</f>
        <v>8</v>
      </c>
      <c r="E22" s="12">
        <f t="shared" ref="E22" si="1">+D22*C22</f>
        <v>3429.4716719406351</v>
      </c>
      <c r="F22" s="93"/>
      <c r="H22" s="893">
        <f>IF(A17="X",D23-E7,"")</f>
        <v>0</v>
      </c>
      <c r="I22" s="894" t="str">
        <f>IF(A17="x","Kontrolle Platzzahl","")</f>
        <v>Kontrolle Platzzahl</v>
      </c>
      <c r="K22" s="574"/>
    </row>
    <row r="23" spans="1:11" s="188" customFormat="1" ht="16.5" thickTop="1" thickBot="1" x14ac:dyDescent="0.3">
      <c r="A23" s="873"/>
      <c r="B23" s="874" t="s">
        <v>469</v>
      </c>
      <c r="C23" s="59">
        <f>+(C20*D20+C21*D21+C22*D22)/D23</f>
        <v>396.22798633085978</v>
      </c>
      <c r="D23" s="60">
        <f>+SUM(D20:D22)</f>
        <v>24</v>
      </c>
      <c r="E23" s="61">
        <f>+SUM(E20:E22)</f>
        <v>9509.4716719406351</v>
      </c>
      <c r="F23" s="93"/>
      <c r="H23" s="893">
        <f>IF(A17="X",E6-C23,"")</f>
        <v>0</v>
      </c>
      <c r="I23" s="894" t="str">
        <f>IF(A17="x","Kontrolle Kaltmiete pro Platz","")</f>
        <v>Kontrolle Kaltmiete pro Platz</v>
      </c>
      <c r="K23" s="574"/>
    </row>
    <row r="24" spans="1:11" s="188" customFormat="1" ht="25.5" customHeight="1" x14ac:dyDescent="0.25">
      <c r="A24" s="112"/>
      <c r="B24" s="876"/>
      <c r="C24" s="114"/>
      <c r="D24" s="114"/>
      <c r="E24" s="114"/>
      <c r="F24" s="241"/>
      <c r="H24" s="896">
        <f>IF(A17="X",E8-E23,"")</f>
        <v>0</v>
      </c>
      <c r="I24" s="897" t="str">
        <f>IF(A17="x","Kontrolle Kaltmiete gesamt","")</f>
        <v>Kontrolle Kaltmiete gesamt</v>
      </c>
      <c r="K24" s="574"/>
    </row>
    <row r="25" spans="1:11" s="188" customFormat="1" ht="26.25" x14ac:dyDescent="0.4">
      <c r="A25" s="87" t="s">
        <v>211</v>
      </c>
      <c r="B25" s="2"/>
      <c r="C25" s="63" t="str">
        <f>IF(A10="x",A13,IF(A17="x",A20,""))</f>
        <v>Einzel-Appartements</v>
      </c>
      <c r="D25" s="63" t="str">
        <f>IF(A10="x",A14,IF(A17="x",A21,""))</f>
        <v>Zimmer in Wohngruppe</v>
      </c>
      <c r="E25" s="63" t="str">
        <f>IF(A10="x","",IF(A17="x",A22,""))</f>
        <v>Wohngruppe "Würzburger Modell"</v>
      </c>
      <c r="F25" s="7"/>
      <c r="G25" s="877"/>
      <c r="H25" s="878"/>
      <c r="I25" s="102"/>
      <c r="J25" s="102"/>
    </row>
    <row r="26" spans="1:11" s="188" customFormat="1" ht="30.75" x14ac:dyDescent="0.3">
      <c r="A26" s="95"/>
      <c r="B26" s="15"/>
      <c r="C26" s="16" t="s">
        <v>212</v>
      </c>
      <c r="D26" s="16" t="s">
        <v>212</v>
      </c>
      <c r="E26" s="16" t="s">
        <v>212</v>
      </c>
      <c r="F26" s="17" t="s">
        <v>213</v>
      </c>
      <c r="G26" s="879"/>
      <c r="H26" s="878"/>
      <c r="I26" s="102"/>
      <c r="J26" s="102"/>
    </row>
    <row r="27" spans="1:11" s="188" customFormat="1" ht="18.75" x14ac:dyDescent="0.3">
      <c r="A27" s="95" t="s">
        <v>175</v>
      </c>
      <c r="B27" s="15"/>
      <c r="C27" s="18">
        <f>IF(A10="x",D13,IF(A17="x",D20,E7))</f>
        <v>4</v>
      </c>
      <c r="D27" s="18">
        <f>IF(A10="x",D14,IF(A17="x",D21,""))</f>
        <v>12</v>
      </c>
      <c r="E27" s="18">
        <f>IF(A10="x","",IF(A17="x",D22,""))</f>
        <v>8</v>
      </c>
      <c r="F27" s="19">
        <f>+E7</f>
        <v>24</v>
      </c>
      <c r="G27" s="880"/>
      <c r="H27" s="893">
        <f>IF(A10="x",C27+D27-E7,IF(A17="x",C27+D27+E27-E7,C27-E7))</f>
        <v>0</v>
      </c>
      <c r="I27" s="894" t="s">
        <v>458</v>
      </c>
      <c r="J27" s="881"/>
      <c r="K27" s="872"/>
    </row>
    <row r="28" spans="1:11" s="188" customFormat="1" ht="18.75" x14ac:dyDescent="0.3">
      <c r="A28" s="98" t="s">
        <v>217</v>
      </c>
      <c r="B28" s="21"/>
      <c r="C28" s="22">
        <f>IF(A10="x",C13,IF(A17="x",C20,E6))</f>
        <v>410</v>
      </c>
      <c r="D28" s="22">
        <f>IF(A10="x",C14,IF(A17="x",C21,""))</f>
        <v>370</v>
      </c>
      <c r="E28" s="22">
        <f>IF(A10="x","",IF(A17="x",C22,""))</f>
        <v>428.68395899257939</v>
      </c>
      <c r="F28" s="22">
        <f>+'E Mietber.'!I8</f>
        <v>91.973341058461884</v>
      </c>
      <c r="G28" s="882"/>
      <c r="H28" s="895">
        <f>ROUNDDOWN(IF(A10="x",(C27*C28+D27*D28-E8),IF(A17="x",(C28*C27+D28*D27+E28*E27)-E8,C28*C27-E8)),0)</f>
        <v>0</v>
      </c>
      <c r="I28" s="894" t="s">
        <v>459</v>
      </c>
      <c r="J28" s="881"/>
      <c r="K28" s="872"/>
    </row>
    <row r="29" spans="1:11" s="188" customFormat="1" ht="18.75" x14ac:dyDescent="0.3">
      <c r="A29" s="98" t="s">
        <v>75</v>
      </c>
      <c r="B29" s="23"/>
      <c r="C29" s="24">
        <f>+'E Mietber.'!H10</f>
        <v>68.437666360041774</v>
      </c>
      <c r="D29" s="24">
        <f>IF(A10="x",'E Mietber.'!H10,IF(A17="X",'E Mietber.'!H10,""))</f>
        <v>68.437666360041774</v>
      </c>
      <c r="E29" s="24">
        <f>IF(A10="x","",IF(A17="x",'E Mietber.'!H10,""))</f>
        <v>68.437666360041774</v>
      </c>
      <c r="F29" s="22">
        <f>+'E Mietber.'!I10</f>
        <v>32.347070254811413</v>
      </c>
      <c r="G29" s="882"/>
      <c r="H29" s="878"/>
      <c r="I29" s="102"/>
      <c r="J29" s="881"/>
      <c r="K29" s="872"/>
    </row>
    <row r="30" spans="1:11" s="188" customFormat="1" ht="18.75" x14ac:dyDescent="0.3">
      <c r="A30" s="98" t="s">
        <v>135</v>
      </c>
      <c r="B30" s="21"/>
      <c r="C30" s="22">
        <f>+'E Mietber.'!H9</f>
        <v>133.55842082172117</v>
      </c>
      <c r="D30" s="22">
        <f>IF(A10="x",'E Mietber.'!H9,IF(A17="X",'E Mietber.'!H9,""))</f>
        <v>133.55842082172117</v>
      </c>
      <c r="E30" s="22">
        <f>IF(A10="x","",IF(A17="x",'E Mietber.'!H9,""))</f>
        <v>133.55842082172117</v>
      </c>
      <c r="F30" s="22">
        <f>+'E Mietber.'!I9</f>
        <v>164.52581205104798</v>
      </c>
      <c r="G30" s="882"/>
      <c r="H30" s="878"/>
      <c r="I30" s="102"/>
      <c r="J30" s="881"/>
      <c r="K30" s="872"/>
    </row>
    <row r="31" spans="1:11" s="188" customFormat="1" ht="18.75" x14ac:dyDescent="0.3">
      <c r="A31" s="98" t="s">
        <v>448</v>
      </c>
      <c r="B31" s="21"/>
      <c r="C31" s="22">
        <f>+'E Mietber.'!H12</f>
        <v>0</v>
      </c>
      <c r="D31" s="22">
        <f>IF(A10="x",'E Mietber.'!H12,IF(A17="X",'E Mietber.'!H12,""))</f>
        <v>0</v>
      </c>
      <c r="E31" s="22">
        <f>IF(A10="x","",IF(A17="x",'E Mietber.'!H12,""))</f>
        <v>0</v>
      </c>
      <c r="F31" s="22">
        <f>+'E Mietber.'!I12</f>
        <v>26.612108906308315</v>
      </c>
      <c r="G31" s="882"/>
      <c r="H31" s="878"/>
      <c r="I31" s="102"/>
      <c r="J31" s="881"/>
      <c r="K31" s="872"/>
    </row>
    <row r="32" spans="1:11" s="188" customFormat="1" ht="18.75" x14ac:dyDescent="0.3">
      <c r="A32" s="98" t="s">
        <v>449</v>
      </c>
      <c r="B32" s="21"/>
      <c r="C32" s="22">
        <f>+'E Mietber.'!H13</f>
        <v>0</v>
      </c>
      <c r="D32" s="22">
        <f>IF(A10="x",'E Mietber.'!H13,IF(A17="X",'E Mietber.'!H13,""))</f>
        <v>0</v>
      </c>
      <c r="E32" s="22">
        <f>IF(A10="x","",IF(A17="x",'E Mietber.'!H13,""))</f>
        <v>0</v>
      </c>
      <c r="F32" s="22">
        <f>+'E Mietber.'!I13</f>
        <v>12.109499136442141</v>
      </c>
      <c r="G32" s="882"/>
      <c r="H32" s="878"/>
      <c r="I32" s="102"/>
      <c r="J32" s="881"/>
      <c r="K32" s="872"/>
    </row>
    <row r="33" spans="1:11" s="188" customFormat="1" ht="19.5" thickBot="1" x14ac:dyDescent="0.35">
      <c r="A33" s="99" t="s">
        <v>450</v>
      </c>
      <c r="B33" s="26"/>
      <c r="C33" s="27">
        <f>+'E Mietber.'!H14</f>
        <v>0</v>
      </c>
      <c r="D33" s="27">
        <f>IF(A10="x",'E Mietber.'!H14,IF(A17="X",'E Mietber.'!H14,""))</f>
        <v>0</v>
      </c>
      <c r="E33" s="27">
        <f>IF(A10="x","",IF(A17="x",'E Mietber.'!H14,""))</f>
        <v>0</v>
      </c>
      <c r="F33" s="27">
        <f>+'E Mietber.'!I14</f>
        <v>11.226252158894646</v>
      </c>
      <c r="G33" s="882"/>
      <c r="H33" s="878"/>
      <c r="I33" s="102"/>
      <c r="J33" s="881"/>
      <c r="K33" s="872"/>
    </row>
    <row r="34" spans="1:11" s="188" customFormat="1" ht="19.5" thickTop="1" x14ac:dyDescent="0.3">
      <c r="A34" s="100" t="s">
        <v>218</v>
      </c>
      <c r="B34" s="29"/>
      <c r="C34" s="30">
        <f>SUM(C28:C33)</f>
        <v>611.99608718176296</v>
      </c>
      <c r="D34" s="30">
        <f>IF(A10="x",SUM(D28:D33),IF(A17="X",SUM(D28:D33),""))</f>
        <v>571.99608718176296</v>
      </c>
      <c r="E34" s="30">
        <f>IF(A10="x","",IF(A17="x",SUM(E28:E33),""))</f>
        <v>630.68004617434235</v>
      </c>
      <c r="F34" s="30">
        <f>+SUM(F28:F33)</f>
        <v>338.79408356596639</v>
      </c>
      <c r="G34" s="882"/>
      <c r="H34" s="895">
        <f>ROUNDDOWN(IF(A10="x",(C34*C27+D34*D27+F34*F27)-'Erg.-Übersicht'!D20*'Erg.-Übersicht'!D8,IF(A17="x",(C34*C27+D34*D27+E34*E27+F34*F27)-'Erg.-Übersicht'!D20*'Erg.-Übersicht'!D8,C34*C27+F34*F27-'Erg.-Übersicht'!D20*'Erg.-Übersicht'!D8)),0)</f>
        <v>0</v>
      </c>
      <c r="I34" s="894" t="s">
        <v>466</v>
      </c>
      <c r="J34" s="881"/>
      <c r="K34" s="872"/>
    </row>
    <row r="35" spans="1:11" s="188" customFormat="1" ht="15.75" thickBot="1" x14ac:dyDescent="0.3">
      <c r="A35" s="76"/>
      <c r="B35" s="3"/>
      <c r="C35" s="32"/>
      <c r="D35" s="32"/>
      <c r="E35" s="32"/>
      <c r="F35" s="33"/>
      <c r="G35" s="878"/>
      <c r="H35" s="878"/>
      <c r="I35" s="102"/>
      <c r="J35" s="881"/>
      <c r="K35" s="872"/>
    </row>
    <row r="36" spans="1:11" s="188" customFormat="1" ht="19.5" thickTop="1" x14ac:dyDescent="0.3">
      <c r="A36" s="883" t="s">
        <v>220</v>
      </c>
      <c r="B36" s="35"/>
      <c r="C36" s="950">
        <f>IF(C34&gt;('E Mietber.'!H22+'E Mietber.'!F29),('E Mietber.'!H22+'E Mietber.'!F29),C34)</f>
        <v>573.75</v>
      </c>
      <c r="D36" s="950">
        <f>IF(A10="x",IF(D34&gt;('E Mietber.'!H22+'E Mietber.'!F29),('E Mietber.'!H22+'E Mietber.'!F29),D34),IF(A17="x",IF(D34&gt;('E Mietber.'!H22+'E Mietber.'!F29),('E Mietber.'!H22+'E Mietber.'!F29),D34),""))</f>
        <v>571.99608718176296</v>
      </c>
      <c r="E36" s="950">
        <f>IF(A10="x","",IF(A17="x",IF(E34&gt;('E Mietber.'!H22+'E Mietber.'!F29),('E Mietber.'!H22+'E Mietber.'!F29),E34),""))</f>
        <v>573.75</v>
      </c>
      <c r="F36" s="952"/>
      <c r="G36" s="884"/>
      <c r="H36" s="878"/>
      <c r="I36" s="102"/>
      <c r="J36" s="881"/>
      <c r="K36" s="872"/>
    </row>
    <row r="37" spans="1:11" s="188" customFormat="1" ht="15.75" thickBot="1" x14ac:dyDescent="0.3">
      <c r="A37" s="885" t="s">
        <v>221</v>
      </c>
      <c r="B37" s="36"/>
      <c r="C37" s="951"/>
      <c r="D37" s="951"/>
      <c r="E37" s="951"/>
      <c r="F37" s="953"/>
      <c r="G37" s="886"/>
      <c r="H37" s="878"/>
      <c r="I37" s="102"/>
      <c r="J37" s="881"/>
      <c r="K37" s="872"/>
    </row>
    <row r="38" spans="1:11" s="188" customFormat="1" ht="15.75" thickTop="1" x14ac:dyDescent="0.25">
      <c r="A38" s="312" t="str">
        <f>+IF('E Mietber.'!H24&lt;0,"Achtung! Da KdU&lt;100% ggfs Regelsatz-Absenkung für Nebenkosten wegen anderweitiger Bedarfsdeckung","")</f>
        <v/>
      </c>
      <c r="B38" s="37"/>
      <c r="C38" s="3"/>
      <c r="D38" s="3"/>
      <c r="E38" s="3"/>
      <c r="F38" s="7"/>
      <c r="G38" s="877"/>
      <c r="H38" s="878"/>
      <c r="I38" s="102"/>
      <c r="J38" s="881"/>
      <c r="K38" s="872"/>
    </row>
    <row r="39" spans="1:11" s="188" customFormat="1" ht="18.75" x14ac:dyDescent="0.3">
      <c r="A39" s="38" t="s">
        <v>222</v>
      </c>
      <c r="B39" s="39"/>
      <c r="C39" s="943">
        <f>+C34-C36</f>
        <v>38.24608718176296</v>
      </c>
      <c r="D39" s="943">
        <f>IF(A10="x",D34-D36,IF(A17="X",D34-D36,""))</f>
        <v>0</v>
      </c>
      <c r="E39" s="943">
        <f>IF(A10="x","",IF(A17="x",E34-E36,""))</f>
        <v>56.930046174342351</v>
      </c>
      <c r="F39" s="941"/>
      <c r="G39" s="884"/>
      <c r="H39" s="878"/>
      <c r="I39" s="102"/>
      <c r="J39" s="881"/>
      <c r="K39" s="872"/>
    </row>
    <row r="40" spans="1:11" s="188" customFormat="1" x14ac:dyDescent="0.25">
      <c r="A40" s="40" t="s">
        <v>460</v>
      </c>
      <c r="B40" s="41"/>
      <c r="C40" s="956"/>
      <c r="D40" s="956"/>
      <c r="E40" s="956"/>
      <c r="F40" s="957"/>
      <c r="G40" s="886"/>
      <c r="H40" s="878"/>
      <c r="I40" s="102"/>
      <c r="J40" s="881"/>
      <c r="K40" s="872"/>
    </row>
    <row r="41" spans="1:11" s="188" customFormat="1" ht="18.75" x14ac:dyDescent="0.3">
      <c r="A41" s="38" t="s">
        <v>223</v>
      </c>
      <c r="B41" s="39"/>
      <c r="C41" s="941">
        <f>F34</f>
        <v>338.79408356596639</v>
      </c>
      <c r="D41" s="941">
        <f>IF(A10="x",F34,IF(A17="x",F34,""))</f>
        <v>338.79408356596639</v>
      </c>
      <c r="E41" s="941">
        <f>IF(A10="x","",IF(A17="x",F34,""))</f>
        <v>338.79408356596639</v>
      </c>
      <c r="F41" s="943">
        <f>+'E Mietber.'!I46</f>
        <v>338.79408356596633</v>
      </c>
      <c r="G41" s="884"/>
      <c r="H41" s="878"/>
      <c r="I41" s="102"/>
      <c r="J41" s="881"/>
      <c r="K41" s="872"/>
    </row>
    <row r="42" spans="1:11" s="188" customFormat="1" ht="19.5" thickBot="1" x14ac:dyDescent="0.35">
      <c r="A42" s="42" t="s">
        <v>224</v>
      </c>
      <c r="B42" s="43"/>
      <c r="C42" s="942"/>
      <c r="D42" s="942"/>
      <c r="E42" s="942"/>
      <c r="F42" s="944"/>
      <c r="G42" s="886"/>
      <c r="H42" s="878"/>
      <c r="I42" s="102"/>
      <c r="J42" s="881"/>
      <c r="K42" s="872"/>
    </row>
    <row r="43" spans="1:11" s="188" customFormat="1" ht="19.5" thickTop="1" x14ac:dyDescent="0.3">
      <c r="A43" s="34" t="s">
        <v>225</v>
      </c>
      <c r="B43" s="35"/>
      <c r="C43" s="1045">
        <f>+C41+C39</f>
        <v>377.04017074772935</v>
      </c>
      <c r="D43" s="1045">
        <f>IF(A10="x",D41+D39,IF(A17="x",D41+D39,""))</f>
        <v>338.79408356596639</v>
      </c>
      <c r="E43" s="1045">
        <f>IF(A10="x","",IF(A17="x",E41+E39,""))</f>
        <v>395.72412974030874</v>
      </c>
      <c r="F43" s="946"/>
      <c r="G43" s="887"/>
      <c r="H43" s="878"/>
      <c r="I43" s="102"/>
      <c r="J43" s="881"/>
      <c r="K43" s="872"/>
    </row>
    <row r="44" spans="1:11" s="188" customFormat="1" ht="19.5" thickBot="1" x14ac:dyDescent="0.35">
      <c r="A44" s="44" t="s">
        <v>226</v>
      </c>
      <c r="B44" s="45"/>
      <c r="C44" s="1046"/>
      <c r="D44" s="1046"/>
      <c r="E44" s="1046"/>
      <c r="F44" s="947"/>
      <c r="G44" s="888"/>
      <c r="H44" s="878"/>
      <c r="I44" s="102"/>
      <c r="J44" s="881"/>
      <c r="K44" s="872"/>
    </row>
    <row r="45" spans="1:11" s="188" customFormat="1" ht="16.5" thickTop="1" thickBot="1" x14ac:dyDescent="0.3">
      <c r="A45" s="76"/>
      <c r="B45" s="88"/>
      <c r="C45" s="88"/>
      <c r="D45" s="88"/>
      <c r="E45" s="88"/>
      <c r="F45" s="93"/>
      <c r="G45" s="877"/>
      <c r="H45" s="878"/>
      <c r="I45" s="102"/>
      <c r="J45" s="881"/>
      <c r="K45" s="872"/>
    </row>
    <row r="46" spans="1:11" s="188" customFormat="1" ht="19.5" thickBot="1" x14ac:dyDescent="0.35">
      <c r="A46" s="46" t="s">
        <v>218</v>
      </c>
      <c r="B46" s="47"/>
      <c r="C46" s="48">
        <f>+C43+C36</f>
        <v>950.79017074772935</v>
      </c>
      <c r="D46" s="49">
        <f>IF(A10="x",D43+D36,IF(A17="x",D43+D36,""))</f>
        <v>910.79017074772935</v>
      </c>
      <c r="E46" s="50">
        <f>IF(A10="x","",IF(A17="x",E43+E36,""))</f>
        <v>969.47412974030874</v>
      </c>
      <c r="F46" s="93"/>
      <c r="G46" s="877"/>
      <c r="H46" s="895">
        <f>ROUNDDOWN(IF(A10="x",(C46*C27+D46*D27-'Erg.-Übersicht'!D20*'Erg.-Übersicht'!D8),(C46*C27+D46*D27+E46*E27-'Erg.-Übersicht'!D20*'Erg.-Übersicht'!D8)),0)</f>
        <v>0</v>
      </c>
      <c r="I46" s="894" t="s">
        <v>466</v>
      </c>
      <c r="J46" s="881"/>
      <c r="K46" s="872"/>
    </row>
    <row r="47" spans="1:11" s="188" customFormat="1" ht="14.25" customHeight="1" x14ac:dyDescent="0.25">
      <c r="A47" s="76"/>
      <c r="B47" s="88"/>
      <c r="C47" s="88"/>
      <c r="D47" s="88"/>
      <c r="E47" s="88"/>
      <c r="F47" s="93"/>
      <c r="G47" s="877"/>
      <c r="H47" s="878"/>
      <c r="I47" s="102"/>
      <c r="J47" s="881"/>
      <c r="K47" s="872"/>
    </row>
    <row r="48" spans="1:11" s="188" customFormat="1" ht="14.25" customHeight="1" x14ac:dyDescent="0.25">
      <c r="A48" s="76"/>
      <c r="B48" s="88"/>
      <c r="C48" s="88"/>
      <c r="D48" s="88"/>
      <c r="E48" s="88"/>
      <c r="F48" s="93"/>
      <c r="G48" s="877"/>
      <c r="H48" s="878"/>
      <c r="I48" s="102"/>
      <c r="J48" s="881"/>
      <c r="K48" s="872"/>
    </row>
    <row r="49" spans="1:11" s="188" customFormat="1" ht="18.75" x14ac:dyDescent="0.3">
      <c r="A49" s="51" t="s">
        <v>513</v>
      </c>
      <c r="B49" s="52"/>
      <c r="C49" s="3"/>
      <c r="D49" s="3"/>
      <c r="E49" s="3"/>
      <c r="F49" s="93"/>
      <c r="G49" s="877"/>
      <c r="H49" s="878"/>
      <c r="I49" s="102"/>
      <c r="J49" s="881"/>
      <c r="K49" s="872"/>
    </row>
    <row r="50" spans="1:11" s="188" customFormat="1" ht="18.75" x14ac:dyDescent="0.3">
      <c r="A50" s="51" t="s">
        <v>227</v>
      </c>
      <c r="B50" s="52"/>
      <c r="C50" s="53"/>
      <c r="D50" s="3"/>
      <c r="E50" s="3"/>
      <c r="F50" s="93"/>
      <c r="G50" s="877"/>
      <c r="H50" s="878"/>
      <c r="I50" s="102"/>
      <c r="J50" s="881"/>
      <c r="K50" s="872"/>
    </row>
    <row r="51" spans="1:11" s="188" customFormat="1" x14ac:dyDescent="0.25">
      <c r="A51" s="1047" t="s">
        <v>228</v>
      </c>
      <c r="B51" s="1048"/>
      <c r="C51" s="54">
        <f>+C29</f>
        <v>68.437666360041774</v>
      </c>
      <c r="D51" s="54">
        <f>IF(A10="x",D29,IF(A17="x",D29,""))</f>
        <v>68.437666360041774</v>
      </c>
      <c r="E51" s="54">
        <f>IF(A10="x","",IF(A17="x",E29,""))</f>
        <v>68.437666360041774</v>
      </c>
      <c r="F51" s="93"/>
      <c r="G51" s="877"/>
      <c r="H51" s="878"/>
      <c r="I51" s="102"/>
      <c r="J51" s="881"/>
      <c r="K51" s="872"/>
    </row>
    <row r="52" spans="1:11" s="188" customFormat="1" x14ac:dyDescent="0.25">
      <c r="A52" s="1047" t="s">
        <v>229</v>
      </c>
      <c r="B52" s="1048"/>
      <c r="C52" s="54">
        <f>'C_1 Nebenk.'!E30*'A Flächen'!F184</f>
        <v>27.127632658647268</v>
      </c>
      <c r="D52" s="54">
        <f>IF(A10="x",'C_1 Nebenk.'!E30*'A Flächen'!F184,IF(A17="x",'C_1 Nebenk.'!E30*'A Flächen'!F184,""))</f>
        <v>27.127632658647268</v>
      </c>
      <c r="E52" s="54">
        <f>IF(A10="x","",IF(A17="x",'C_1 Nebenk.'!E30*'A Flächen'!F184,""))</f>
        <v>27.127632658647268</v>
      </c>
      <c r="F52" s="93"/>
      <c r="G52" s="877"/>
      <c r="H52" s="878"/>
      <c r="I52" s="102"/>
      <c r="J52" s="881"/>
      <c r="K52" s="872"/>
    </row>
    <row r="53" spans="1:11" s="188" customFormat="1" ht="46.5" customHeight="1" x14ac:dyDescent="0.25">
      <c r="A53" s="1047" t="s">
        <v>515</v>
      </c>
      <c r="B53" s="1048"/>
      <c r="C53" s="54">
        <f>'B_1 Geb. Kaltmiete'!D111*'A Flächen'!E184*365/12</f>
        <v>53.101709083546581</v>
      </c>
      <c r="D53" s="54">
        <f>IF(A10="x",'B_1 Geb. Kaltmiete'!D111*'A Flächen'!E184*365/12,IF(A17="x",'B_1 Geb. Kaltmiete'!D111*'A Flächen'!E184*365/12,""))</f>
        <v>53.101709083546581</v>
      </c>
      <c r="E53" s="54">
        <f>IF(A10="x","",IF(A17="x",'B_1 Geb. Kaltmiete'!D111*'A Flächen'!E184*365/12,""))</f>
        <v>53.101709083546581</v>
      </c>
      <c r="F53" s="93"/>
      <c r="G53" s="877"/>
      <c r="H53" s="878"/>
      <c r="I53" s="102"/>
      <c r="J53" s="881"/>
      <c r="K53" s="872"/>
    </row>
    <row r="54" spans="1:11" s="188" customFormat="1" ht="29.25" customHeight="1" x14ac:dyDescent="0.25">
      <c r="A54" s="1047" t="s">
        <v>230</v>
      </c>
      <c r="B54" s="1048"/>
      <c r="C54" s="54">
        <f>+'C_1 Nebenk.'!E27</f>
        <v>1.6908495024724506</v>
      </c>
      <c r="D54" s="54">
        <f>IF(A10="x",'C_1 Nebenk.'!E27,IF(A17="x",'C_1 Nebenk.'!E27,""))</f>
        <v>1.6908495024724506</v>
      </c>
      <c r="E54" s="54">
        <f>IF(A10="x","",IF(A17="x",'C_1 Nebenk.'!E27,""))</f>
        <v>1.6908495024724506</v>
      </c>
      <c r="F54" s="93"/>
      <c r="G54" s="877"/>
      <c r="H54" s="878"/>
      <c r="I54" s="102"/>
      <c r="J54" s="881"/>
      <c r="K54" s="872"/>
    </row>
    <row r="55" spans="1:11" s="188" customFormat="1" ht="30.75" customHeight="1" thickBot="1" x14ac:dyDescent="0.3">
      <c r="A55" s="1057" t="s">
        <v>514</v>
      </c>
      <c r="B55" s="1058"/>
      <c r="C55" s="55">
        <f>IFERROR(IF(C34-C51-C52-C53-C54-'E Mietber.'!H21&gt;0,C34-C51-C52-C53-C54-'E Mietber.'!H21,""),"")</f>
        <v>2.6382295770548581</v>
      </c>
      <c r="D55" s="55" t="str">
        <f>IFERROR(IF(D34-D51-D52-D53-D54-'E Mietber.'!H21&gt;0,(IF(A10="x",D34-D51-D52-D53-D54-'E Mietber.'!H21,IF(A17="x",D34-D51-D52-D53-D54-'E Mietber.'!H21,""))),""),"")</f>
        <v/>
      </c>
      <c r="E55" s="55">
        <f>IFERROR(IF(E34-E51-E52-E53-E54-'E Mietber.'!H21&gt;0,(IF(A10="x","",IF(A17="x",E34-E51-E52-E53-E54-'E Mietber.'!H21,""))),""),"")</f>
        <v>21.32218856963425</v>
      </c>
      <c r="F55" s="93"/>
      <c r="G55" s="877"/>
      <c r="H55" s="878"/>
      <c r="I55" s="877"/>
      <c r="J55" s="889"/>
      <c r="K55" s="890"/>
    </row>
    <row r="56" spans="1:11" s="188" customFormat="1" ht="16.5" thickTop="1" thickBot="1" x14ac:dyDescent="0.3">
      <c r="A56" s="56" t="s">
        <v>516</v>
      </c>
      <c r="B56" s="57"/>
      <c r="C56" s="58">
        <f>SUM(C51:C55)</f>
        <v>152.99608718176293</v>
      </c>
      <c r="D56" s="58">
        <f>IF(A10="x",SUM(D51:D55),IF(A17="x",SUM(D51:D55),""))</f>
        <v>150.35785760470807</v>
      </c>
      <c r="E56" s="58">
        <f>IF(A10="x","",IF(A17="x",SUM(E51:E55),""))</f>
        <v>171.68004617434232</v>
      </c>
      <c r="F56" s="93"/>
      <c r="G56" s="877"/>
      <c r="H56" s="889"/>
      <c r="I56" s="881"/>
    </row>
    <row r="57" spans="1:11" s="188" customFormat="1" x14ac:dyDescent="0.25">
      <c r="A57" s="113"/>
      <c r="B57" s="114"/>
      <c r="C57" s="114"/>
      <c r="D57" s="114"/>
      <c r="E57" s="114"/>
      <c r="F57" s="241"/>
      <c r="G57" s="891"/>
      <c r="H57" s="889"/>
      <c r="I57" s="881"/>
      <c r="J57" s="102"/>
    </row>
    <row r="58" spans="1:11" s="188" customFormat="1" x14ac:dyDescent="0.25">
      <c r="D58" s="937"/>
      <c r="H58" s="102"/>
      <c r="I58" s="102"/>
      <c r="J58" s="102"/>
    </row>
    <row r="59" spans="1:11" x14ac:dyDescent="0.25">
      <c r="D59" s="775"/>
      <c r="E59" s="775"/>
      <c r="H59" s="777"/>
      <c r="I59" s="777"/>
      <c r="J59" s="777"/>
    </row>
    <row r="60" spans="1:11" x14ac:dyDescent="0.25">
      <c r="E60" s="775"/>
      <c r="H60" s="777"/>
      <c r="I60" s="777"/>
      <c r="J60" s="777"/>
    </row>
    <row r="61" spans="1:11" x14ac:dyDescent="0.25">
      <c r="H61" s="777"/>
      <c r="I61" s="777"/>
      <c r="J61" s="777"/>
    </row>
    <row r="62" spans="1:11" x14ac:dyDescent="0.25">
      <c r="D62" s="892"/>
      <c r="H62" s="777"/>
      <c r="I62" s="777"/>
      <c r="J62" s="777"/>
    </row>
    <row r="63" spans="1:11" x14ac:dyDescent="0.25">
      <c r="H63" s="777"/>
      <c r="I63" s="777"/>
      <c r="J63" s="777"/>
    </row>
    <row r="64" spans="1:11" x14ac:dyDescent="0.25">
      <c r="H64" s="777"/>
      <c r="I64" s="777"/>
      <c r="J64" s="777"/>
    </row>
    <row r="65" spans="8:10" x14ac:dyDescent="0.25">
      <c r="H65" s="777"/>
      <c r="I65" s="777"/>
      <c r="J65" s="777"/>
    </row>
    <row r="66" spans="8:10" x14ac:dyDescent="0.25">
      <c r="H66" s="777"/>
      <c r="I66" s="777"/>
      <c r="J66" s="777"/>
    </row>
    <row r="67" spans="8:10" x14ac:dyDescent="0.25">
      <c r="H67" s="777"/>
      <c r="I67" s="777"/>
      <c r="J67" s="777"/>
    </row>
    <row r="68" spans="8:10" x14ac:dyDescent="0.25">
      <c r="H68" s="777"/>
      <c r="I68" s="777"/>
      <c r="J68" s="777"/>
    </row>
    <row r="69" spans="8:10" x14ac:dyDescent="0.25">
      <c r="H69" s="777"/>
      <c r="I69" s="777"/>
      <c r="J69" s="777"/>
    </row>
    <row r="70" spans="8:10" x14ac:dyDescent="0.25">
      <c r="H70" s="777"/>
      <c r="I70" s="777"/>
      <c r="J70" s="777"/>
    </row>
    <row r="71" spans="8:10" x14ac:dyDescent="0.25">
      <c r="H71" s="777"/>
      <c r="I71" s="777"/>
      <c r="J71" s="777"/>
    </row>
    <row r="72" spans="8:10" x14ac:dyDescent="0.25">
      <c r="H72" s="777"/>
      <c r="I72" s="777"/>
      <c r="J72" s="777"/>
    </row>
    <row r="73" spans="8:10" x14ac:dyDescent="0.25">
      <c r="H73" s="777"/>
      <c r="I73" s="777"/>
      <c r="J73" s="777"/>
    </row>
    <row r="74" spans="8:10" x14ac:dyDescent="0.25">
      <c r="H74" s="777"/>
      <c r="I74" s="777"/>
      <c r="J74" s="777"/>
    </row>
    <row r="75" spans="8:10" x14ac:dyDescent="0.25">
      <c r="H75" s="777"/>
      <c r="I75" s="777"/>
      <c r="J75" s="777"/>
    </row>
    <row r="76" spans="8:10" x14ac:dyDescent="0.25">
      <c r="H76" s="777"/>
      <c r="I76" s="777"/>
      <c r="J76" s="777"/>
    </row>
    <row r="77" spans="8:10" x14ac:dyDescent="0.25">
      <c r="H77" s="777"/>
      <c r="I77" s="777"/>
      <c r="J77" s="777"/>
    </row>
    <row r="78" spans="8:10" x14ac:dyDescent="0.25">
      <c r="H78" s="777"/>
      <c r="I78" s="777"/>
      <c r="J78" s="777"/>
    </row>
    <row r="79" spans="8:10" x14ac:dyDescent="0.25">
      <c r="H79" s="777"/>
      <c r="I79" s="777"/>
      <c r="J79" s="777"/>
    </row>
    <row r="80" spans="8:10" x14ac:dyDescent="0.25">
      <c r="H80" s="777"/>
      <c r="I80" s="777"/>
      <c r="J80" s="777"/>
    </row>
    <row r="81" spans="8:10" x14ac:dyDescent="0.25">
      <c r="H81" s="777"/>
      <c r="I81" s="777"/>
      <c r="J81" s="777"/>
    </row>
    <row r="82" spans="8:10" x14ac:dyDescent="0.25">
      <c r="H82" s="777"/>
      <c r="I82" s="777"/>
      <c r="J82" s="777"/>
    </row>
    <row r="83" spans="8:10" x14ac:dyDescent="0.25">
      <c r="H83" s="777"/>
      <c r="I83" s="777"/>
      <c r="J83" s="777"/>
    </row>
    <row r="84" spans="8:10" x14ac:dyDescent="0.25">
      <c r="H84" s="777"/>
      <c r="I84" s="777"/>
      <c r="J84" s="777"/>
    </row>
    <row r="85" spans="8:10" x14ac:dyDescent="0.25">
      <c r="H85" s="777"/>
      <c r="I85" s="777"/>
      <c r="J85" s="777"/>
    </row>
    <row r="86" spans="8:10" x14ac:dyDescent="0.25">
      <c r="H86" s="777"/>
      <c r="I86" s="777"/>
      <c r="J86" s="777"/>
    </row>
    <row r="87" spans="8:10" x14ac:dyDescent="0.25">
      <c r="H87" s="777"/>
      <c r="I87" s="777"/>
      <c r="J87" s="777"/>
    </row>
    <row r="88" spans="8:10" x14ac:dyDescent="0.25">
      <c r="H88" s="777"/>
      <c r="I88" s="777"/>
      <c r="J88" s="777"/>
    </row>
    <row r="89" spans="8:10" x14ac:dyDescent="0.25">
      <c r="H89" s="777"/>
      <c r="I89" s="777"/>
      <c r="J89" s="777"/>
    </row>
    <row r="90" spans="8:10" x14ac:dyDescent="0.25">
      <c r="H90" s="777"/>
      <c r="I90" s="777"/>
      <c r="J90" s="777"/>
    </row>
    <row r="91" spans="8:10" x14ac:dyDescent="0.25">
      <c r="H91" s="777"/>
      <c r="I91" s="777"/>
      <c r="J91" s="777"/>
    </row>
    <row r="92" spans="8:10" x14ac:dyDescent="0.25">
      <c r="H92" s="777"/>
      <c r="I92" s="777"/>
      <c r="J92" s="777"/>
    </row>
    <row r="93" spans="8:10" x14ac:dyDescent="0.25">
      <c r="H93" s="777"/>
      <c r="I93" s="777"/>
      <c r="J93" s="777"/>
    </row>
    <row r="94" spans="8:10" x14ac:dyDescent="0.25">
      <c r="H94" s="777"/>
      <c r="I94" s="777"/>
      <c r="J94" s="777"/>
    </row>
    <row r="95" spans="8:10" x14ac:dyDescent="0.25">
      <c r="H95" s="777"/>
      <c r="I95" s="777"/>
      <c r="J95" s="777"/>
    </row>
    <row r="96" spans="8:10" x14ac:dyDescent="0.25">
      <c r="H96" s="777"/>
      <c r="I96" s="777"/>
      <c r="J96" s="777"/>
    </row>
    <row r="97" spans="8:10" x14ac:dyDescent="0.25">
      <c r="H97" s="777"/>
      <c r="I97" s="777"/>
      <c r="J97" s="777"/>
    </row>
    <row r="98" spans="8:10" x14ac:dyDescent="0.25">
      <c r="H98" s="777"/>
      <c r="I98" s="777"/>
      <c r="J98" s="777"/>
    </row>
    <row r="99" spans="8:10" x14ac:dyDescent="0.25">
      <c r="H99" s="777"/>
      <c r="I99" s="777"/>
      <c r="J99" s="777"/>
    </row>
    <row r="100" spans="8:10" x14ac:dyDescent="0.25">
      <c r="H100" s="777"/>
      <c r="I100" s="777"/>
      <c r="J100" s="777"/>
    </row>
    <row r="101" spans="8:10" x14ac:dyDescent="0.25">
      <c r="H101" s="777"/>
      <c r="I101" s="777"/>
      <c r="J101" s="777"/>
    </row>
    <row r="102" spans="8:10" x14ac:dyDescent="0.25">
      <c r="H102" s="777"/>
      <c r="I102" s="777"/>
      <c r="J102" s="777"/>
    </row>
    <row r="103" spans="8:10" x14ac:dyDescent="0.25">
      <c r="H103" s="777"/>
      <c r="I103" s="777"/>
      <c r="J103" s="777"/>
    </row>
    <row r="104" spans="8:10" x14ac:dyDescent="0.25">
      <c r="H104" s="777"/>
      <c r="I104" s="777"/>
      <c r="J104" s="777"/>
    </row>
    <row r="105" spans="8:10" x14ac:dyDescent="0.25">
      <c r="H105" s="777"/>
      <c r="I105" s="777"/>
      <c r="J105" s="777"/>
    </row>
  </sheetData>
  <sheetProtection sheet="1" objects="1" scenarios="1"/>
  <mergeCells count="29">
    <mergeCell ref="A10:A11"/>
    <mergeCell ref="A13:B13"/>
    <mergeCell ref="A14:B14"/>
    <mergeCell ref="D41:D42"/>
    <mergeCell ref="E41:E42"/>
    <mergeCell ref="E39:E40"/>
    <mergeCell ref="E36:E37"/>
    <mergeCell ref="D39:D40"/>
    <mergeCell ref="A53:B53"/>
    <mergeCell ref="A52:B52"/>
    <mergeCell ref="A54:B54"/>
    <mergeCell ref="A55:B55"/>
    <mergeCell ref="D43:D44"/>
    <mergeCell ref="E43:E44"/>
    <mergeCell ref="A51:B51"/>
    <mergeCell ref="A4:F4"/>
    <mergeCell ref="C41:C42"/>
    <mergeCell ref="F41:F42"/>
    <mergeCell ref="C43:C44"/>
    <mergeCell ref="F43:F44"/>
    <mergeCell ref="C36:C37"/>
    <mergeCell ref="F36:F37"/>
    <mergeCell ref="C39:C40"/>
    <mergeCell ref="F39:F40"/>
    <mergeCell ref="A17:A18"/>
    <mergeCell ref="A20:B20"/>
    <mergeCell ref="A21:B21"/>
    <mergeCell ref="A22:B22"/>
    <mergeCell ref="D36:D37"/>
  </mergeCells>
  <conditionalFormatting sqref="A38:B38">
    <cfRule type="containsErrors" dxfId="24" priority="48">
      <formula>ISERROR(A38)</formula>
    </cfRule>
  </conditionalFormatting>
  <conditionalFormatting sqref="H22">
    <cfRule type="expression" dxfId="23" priority="5">
      <formula>$H$22=""</formula>
    </cfRule>
    <cfRule type="expression" dxfId="22" priority="42">
      <formula>H22&lt;&gt;0</formula>
    </cfRule>
  </conditionalFormatting>
  <conditionalFormatting sqref="A20:D21">
    <cfRule type="expression" dxfId="21" priority="32">
      <formula>$A$17="x"</formula>
    </cfRule>
  </conditionalFormatting>
  <conditionalFormatting sqref="A22:B22">
    <cfRule type="expression" dxfId="20" priority="31">
      <formula>$A$17="x"</formula>
    </cfRule>
  </conditionalFormatting>
  <conditionalFormatting sqref="A13:D13">
    <cfRule type="expression" dxfId="19" priority="30">
      <formula>$A$10="x"</formula>
    </cfRule>
  </conditionalFormatting>
  <conditionalFormatting sqref="H14">
    <cfRule type="expression" dxfId="18" priority="10">
      <formula>$H$14=""</formula>
    </cfRule>
    <cfRule type="expression" dxfId="17" priority="28">
      <formula>H14&lt;&gt;0</formula>
    </cfRule>
  </conditionalFormatting>
  <conditionalFormatting sqref="A17:A18">
    <cfRule type="expression" dxfId="16" priority="21">
      <formula>AND($A$10="x",$A$17="x")</formula>
    </cfRule>
    <cfRule type="expression" dxfId="15" priority="22">
      <formula>$A$10="x"</formula>
    </cfRule>
  </conditionalFormatting>
  <conditionalFormatting sqref="A14:B14">
    <cfRule type="expression" dxfId="14" priority="24">
      <formula>$A$10="x"</formula>
    </cfRule>
  </conditionalFormatting>
  <conditionalFormatting sqref="H27">
    <cfRule type="expression" dxfId="13" priority="17">
      <formula>H27&lt;&gt;0</formula>
    </cfRule>
  </conditionalFormatting>
  <conditionalFormatting sqref="H34">
    <cfRule type="expression" dxfId="12" priority="12">
      <formula>H34&lt;&gt;0</formula>
    </cfRule>
  </conditionalFormatting>
  <conditionalFormatting sqref="H28">
    <cfRule type="expression" dxfId="11" priority="13">
      <formula>H28&lt;&gt;0</formula>
    </cfRule>
  </conditionalFormatting>
  <conditionalFormatting sqref="H46">
    <cfRule type="expression" dxfId="10" priority="11">
      <formula>H46&lt;&gt;0</formula>
    </cfRule>
  </conditionalFormatting>
  <conditionalFormatting sqref="A10:A11">
    <cfRule type="expression" dxfId="9" priority="49">
      <formula>IF(AND($A$17="x"),($A$10=""))</formula>
    </cfRule>
    <cfRule type="expression" dxfId="8" priority="50">
      <formula>AND($A$10="x",$A$17="x")</formula>
    </cfRule>
  </conditionalFormatting>
  <conditionalFormatting sqref="H15">
    <cfRule type="expression" dxfId="7" priority="8">
      <formula>$H$14=""</formula>
    </cfRule>
    <cfRule type="expression" dxfId="6" priority="9">
      <formula>H15&lt;&gt;0</formula>
    </cfRule>
  </conditionalFormatting>
  <conditionalFormatting sqref="H16">
    <cfRule type="expression" dxfId="5" priority="6">
      <formula>$H$14=""</formula>
    </cfRule>
    <cfRule type="expression" dxfId="4" priority="7">
      <formula>H16&lt;&gt;0</formula>
    </cfRule>
  </conditionalFormatting>
  <conditionalFormatting sqref="H23">
    <cfRule type="expression" dxfId="3" priority="3">
      <formula>$H$22=""</formula>
    </cfRule>
    <cfRule type="expression" dxfId="2" priority="4">
      <formula>H23&lt;&gt;0</formula>
    </cfRule>
  </conditionalFormatting>
  <conditionalFormatting sqref="H24">
    <cfRule type="expression" dxfId="1" priority="1">
      <formula>$H$22=""</formula>
    </cfRule>
    <cfRule type="expression" dxfId="0" priority="2">
      <formula>H24&lt;&gt;0</formula>
    </cfRule>
  </conditionalFormatting>
  <pageMargins left="0.7" right="0.7" top="0.78740157499999996" bottom="0.78740157499999996" header="0.3" footer="0.3"/>
  <pageSetup paperSize="9" scale="71" orientation="portrait" r:id="rId1"/>
  <rowBreaks count="1" manualBreakCount="1">
    <brk id="47"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selection activeCell="A4" sqref="A4"/>
    </sheetView>
  </sheetViews>
  <sheetFormatPr baseColWidth="10" defaultRowHeight="15" x14ac:dyDescent="0.25"/>
  <cols>
    <col min="1" max="1" width="22.7109375" style="67" customWidth="1"/>
    <col min="2" max="2" width="19.7109375" style="919" customWidth="1"/>
    <col min="3" max="4" width="11.42578125" style="67"/>
    <col min="5" max="5" width="15.42578125" style="67" customWidth="1"/>
    <col min="6" max="16384" width="11.42578125" style="67"/>
  </cols>
  <sheetData>
    <row r="1" spans="1:5" ht="26.25" x14ac:dyDescent="0.4">
      <c r="A1" s="64" t="s">
        <v>30</v>
      </c>
      <c r="B1" s="572"/>
      <c r="C1" s="572"/>
      <c r="D1" s="572"/>
      <c r="E1" s="573"/>
    </row>
    <row r="2" spans="1:5" ht="26.25" x14ac:dyDescent="0.4">
      <c r="A2" s="575" t="s">
        <v>142</v>
      </c>
      <c r="B2" s="576"/>
      <c r="C2" s="576"/>
      <c r="D2" s="577"/>
      <c r="E2" s="580"/>
    </row>
    <row r="3" spans="1:5" x14ac:dyDescent="0.25">
      <c r="A3" s="643" t="str">
        <f>+Stammdaten!B5</f>
        <v>Wohnheim Musterdorf</v>
      </c>
      <c r="B3" s="473" t="str">
        <f>+Stammdaten!B3</f>
        <v>Beispiel-Landkreis</v>
      </c>
      <c r="C3" s="933"/>
      <c r="D3" s="71" t="s">
        <v>45</v>
      </c>
      <c r="E3" s="72"/>
    </row>
    <row r="4" spans="1:5" x14ac:dyDescent="0.25">
      <c r="A4" s="78"/>
      <c r="B4" s="544"/>
      <c r="C4" s="69"/>
      <c r="D4" s="69"/>
      <c r="E4" s="73"/>
    </row>
    <row r="5" spans="1:5" ht="30" x14ac:dyDescent="0.25">
      <c r="A5" s="920" t="s">
        <v>179</v>
      </c>
      <c r="B5" s="920" t="s">
        <v>180</v>
      </c>
      <c r="C5" s="921"/>
      <c r="D5" s="69"/>
      <c r="E5" s="73"/>
    </row>
    <row r="6" spans="1:5" x14ac:dyDescent="0.25">
      <c r="A6" s="922">
        <v>2017</v>
      </c>
      <c r="B6" s="923"/>
      <c r="C6" s="930">
        <v>284.63</v>
      </c>
      <c r="D6" s="69"/>
      <c r="E6" s="73"/>
    </row>
    <row r="7" spans="1:5" x14ac:dyDescent="0.25">
      <c r="A7" s="922">
        <v>2018</v>
      </c>
      <c r="B7" s="924">
        <v>1.9E-2</v>
      </c>
      <c r="C7" s="931">
        <f t="shared" ref="C7:C8" si="0">+C6*(1+B7)</f>
        <v>290.03796999999997</v>
      </c>
      <c r="D7" s="69"/>
      <c r="E7" s="73"/>
    </row>
    <row r="8" spans="1:5" x14ac:dyDescent="0.25">
      <c r="A8" s="922">
        <v>2019</v>
      </c>
      <c r="B8" s="925"/>
      <c r="C8" s="931">
        <f t="shared" si="0"/>
        <v>290.03796999999997</v>
      </c>
      <c r="D8" s="69"/>
      <c r="E8" s="73"/>
    </row>
    <row r="9" spans="1:5" x14ac:dyDescent="0.25">
      <c r="A9" s="922">
        <v>2020</v>
      </c>
      <c r="B9" s="925"/>
      <c r="C9" s="931">
        <f>+C8*(1+B9)</f>
        <v>290.03796999999997</v>
      </c>
      <c r="D9" s="69"/>
      <c r="E9" s="73"/>
    </row>
    <row r="10" spans="1:5" x14ac:dyDescent="0.25">
      <c r="A10" s="922">
        <v>2021</v>
      </c>
      <c r="B10" s="925"/>
      <c r="C10" s="931">
        <f t="shared" ref="C10:C13" si="1">+C9*(1+B10)</f>
        <v>290.03796999999997</v>
      </c>
      <c r="D10" s="69"/>
      <c r="E10" s="73"/>
    </row>
    <row r="11" spans="1:5" x14ac:dyDescent="0.25">
      <c r="A11" s="922">
        <v>2022</v>
      </c>
      <c r="B11" s="925"/>
      <c r="C11" s="931">
        <f t="shared" si="1"/>
        <v>290.03796999999997</v>
      </c>
      <c r="D11" s="69"/>
      <c r="E11" s="73"/>
    </row>
    <row r="12" spans="1:5" x14ac:dyDescent="0.25">
      <c r="A12" s="922">
        <v>2023</v>
      </c>
      <c r="B12" s="925"/>
      <c r="C12" s="931">
        <f t="shared" si="1"/>
        <v>290.03796999999997</v>
      </c>
      <c r="D12" s="69"/>
      <c r="E12" s="73"/>
    </row>
    <row r="13" spans="1:5" ht="15.75" thickBot="1" x14ac:dyDescent="0.3">
      <c r="A13" s="922">
        <v>2024</v>
      </c>
      <c r="B13" s="925"/>
      <c r="C13" s="931">
        <f t="shared" si="1"/>
        <v>290.03796999999997</v>
      </c>
      <c r="D13" s="69"/>
      <c r="E13" s="73"/>
    </row>
    <row r="14" spans="1:5" ht="15.75" thickBot="1" x14ac:dyDescent="0.3">
      <c r="A14" s="78"/>
      <c r="B14" s="544"/>
      <c r="C14" s="932">
        <f>+C13</f>
        <v>290.03796999999997</v>
      </c>
      <c r="D14" s="69" t="s">
        <v>176</v>
      </c>
      <c r="E14" s="73"/>
    </row>
    <row r="15" spans="1:5" x14ac:dyDescent="0.25">
      <c r="A15" s="78"/>
      <c r="B15" s="544"/>
      <c r="C15" s="69"/>
      <c r="D15" s="69"/>
      <c r="E15" s="73"/>
    </row>
    <row r="16" spans="1:5" x14ac:dyDescent="0.25">
      <c r="A16" s="78"/>
      <c r="B16" s="544"/>
      <c r="C16" s="69"/>
      <c r="D16" s="69"/>
      <c r="E16" s="73"/>
    </row>
    <row r="17" spans="1:5" x14ac:dyDescent="0.25">
      <c r="A17" s="78"/>
      <c r="B17" s="544"/>
      <c r="C17" s="69"/>
      <c r="D17" s="69"/>
      <c r="E17" s="73"/>
    </row>
    <row r="18" spans="1:5" x14ac:dyDescent="0.25">
      <c r="A18" s="78"/>
      <c r="B18" s="544"/>
      <c r="C18" s="69"/>
      <c r="D18" s="69"/>
      <c r="E18" s="73"/>
    </row>
    <row r="19" spans="1:5" x14ac:dyDescent="0.25">
      <c r="A19" s="78"/>
      <c r="B19" s="544"/>
      <c r="C19" s="69"/>
      <c r="D19" s="69"/>
      <c r="E19" s="73"/>
    </row>
    <row r="20" spans="1:5" x14ac:dyDescent="0.25">
      <c r="A20" s="78"/>
      <c r="B20" s="544"/>
      <c r="C20" s="69"/>
      <c r="D20" s="69"/>
      <c r="E20" s="73"/>
    </row>
    <row r="21" spans="1:5" x14ac:dyDescent="0.25">
      <c r="A21" s="78"/>
      <c r="B21" s="544"/>
      <c r="C21" s="69"/>
      <c r="D21" s="69"/>
      <c r="E21" s="73"/>
    </row>
    <row r="22" spans="1:5" x14ac:dyDescent="0.25">
      <c r="A22" s="78"/>
      <c r="B22" s="544"/>
      <c r="C22" s="69"/>
      <c r="D22" s="69"/>
      <c r="E22" s="73"/>
    </row>
    <row r="23" spans="1:5" x14ac:dyDescent="0.25">
      <c r="A23" s="78"/>
      <c r="B23" s="544"/>
      <c r="C23" s="69"/>
      <c r="D23" s="69"/>
      <c r="E23" s="73"/>
    </row>
    <row r="24" spans="1:5" x14ac:dyDescent="0.25">
      <c r="A24" s="78"/>
      <c r="B24" s="544"/>
      <c r="C24" s="69"/>
      <c r="D24" s="69"/>
      <c r="E24" s="73"/>
    </row>
    <row r="25" spans="1:5" x14ac:dyDescent="0.25">
      <c r="A25" s="78"/>
      <c r="B25" s="544"/>
      <c r="C25" s="69"/>
      <c r="D25" s="69"/>
      <c r="E25" s="73"/>
    </row>
    <row r="26" spans="1:5" x14ac:dyDescent="0.25">
      <c r="A26" s="78"/>
      <c r="B26" s="544"/>
      <c r="C26" s="69"/>
      <c r="D26" s="69"/>
      <c r="E26" s="73"/>
    </row>
    <row r="27" spans="1:5" x14ac:dyDescent="0.25">
      <c r="A27" s="78"/>
      <c r="B27" s="544"/>
      <c r="C27" s="69"/>
      <c r="D27" s="69"/>
      <c r="E27" s="73"/>
    </row>
    <row r="28" spans="1:5" x14ac:dyDescent="0.25">
      <c r="A28" s="78"/>
      <c r="B28" s="544"/>
      <c r="C28" s="69"/>
      <c r="D28" s="69"/>
      <c r="E28" s="73"/>
    </row>
    <row r="29" spans="1:5" x14ac:dyDescent="0.25">
      <c r="A29" s="78"/>
      <c r="B29" s="544"/>
      <c r="C29" s="69"/>
      <c r="D29" s="69"/>
      <c r="E29" s="73"/>
    </row>
    <row r="30" spans="1:5" x14ac:dyDescent="0.25">
      <c r="A30" s="78"/>
      <c r="B30" s="544"/>
      <c r="C30" s="69"/>
      <c r="D30" s="69"/>
      <c r="E30" s="73"/>
    </row>
    <row r="31" spans="1:5" x14ac:dyDescent="0.25">
      <c r="A31" s="78"/>
      <c r="B31" s="544"/>
      <c r="C31" s="69"/>
      <c r="D31" s="69"/>
      <c r="E31" s="73"/>
    </row>
    <row r="32" spans="1:5" x14ac:dyDescent="0.25">
      <c r="A32" s="78"/>
      <c r="B32" s="544"/>
      <c r="C32" s="69"/>
      <c r="D32" s="69"/>
      <c r="E32" s="73"/>
    </row>
    <row r="33" spans="1:5" x14ac:dyDescent="0.25">
      <c r="A33" s="78"/>
      <c r="B33" s="544"/>
      <c r="C33" s="69"/>
      <c r="D33" s="69"/>
      <c r="E33" s="73"/>
    </row>
    <row r="34" spans="1:5" x14ac:dyDescent="0.25">
      <c r="A34" s="926"/>
      <c r="B34" s="927"/>
      <c r="C34" s="928"/>
      <c r="D34" s="928"/>
      <c r="E34" s="929"/>
    </row>
  </sheetData>
  <sheetProtection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J42"/>
  <sheetViews>
    <sheetView zoomScaleNormal="100" workbookViewId="0">
      <selection activeCell="A6" sqref="A6"/>
    </sheetView>
  </sheetViews>
  <sheetFormatPr baseColWidth="10" defaultRowHeight="15" x14ac:dyDescent="0.25"/>
  <cols>
    <col min="1" max="1" width="42.5703125" style="67" customWidth="1"/>
    <col min="2" max="2" width="22" style="67" customWidth="1"/>
    <col min="3" max="3" width="21.85546875" style="67" customWidth="1"/>
    <col min="4" max="4" width="17.85546875" style="67" customWidth="1"/>
    <col min="5" max="5" width="3.42578125" style="67" customWidth="1"/>
    <col min="6" max="6" width="11.42578125" style="67"/>
    <col min="7" max="7" width="10.28515625" style="86" customWidth="1"/>
    <col min="8" max="8" width="11.42578125" style="67"/>
    <col min="9" max="9" width="15.42578125" style="67" customWidth="1"/>
    <col min="10" max="16384" width="11.42578125" style="67"/>
  </cols>
  <sheetData>
    <row r="1" spans="1:10" ht="26.25" x14ac:dyDescent="0.4">
      <c r="A1" s="83" t="s">
        <v>108</v>
      </c>
      <c r="B1" s="84"/>
      <c r="C1" s="84"/>
      <c r="D1" s="84"/>
      <c r="E1" s="66"/>
      <c r="F1" s="85"/>
    </row>
    <row r="2" spans="1:10" ht="26.25" x14ac:dyDescent="0.4">
      <c r="A2" s="87" t="s">
        <v>211</v>
      </c>
      <c r="B2" s="88"/>
      <c r="C2" s="88"/>
      <c r="D2" s="88"/>
      <c r="E2" s="89" t="str">
        <f>+Stammdaten!D2</f>
        <v>Version 1.3</v>
      </c>
      <c r="F2" s="85"/>
    </row>
    <row r="3" spans="1:10" ht="19.5" thickBot="1" x14ac:dyDescent="0.35">
      <c r="A3" s="90" t="str">
        <f>+Stammdaten!A3</f>
        <v>Wohnheim Musterdorf</v>
      </c>
      <c r="B3" s="91" t="str">
        <f>+Stammdaten!B3</f>
        <v>Beispiel-Landkreis</v>
      </c>
      <c r="C3" s="84"/>
      <c r="D3" s="84"/>
      <c r="E3" s="92"/>
    </row>
    <row r="4" spans="1:10" ht="61.5" customHeight="1" thickBot="1" x14ac:dyDescent="0.3">
      <c r="A4" s="938" t="s">
        <v>481</v>
      </c>
      <c r="B4" s="939"/>
      <c r="C4" s="939"/>
      <c r="D4" s="939"/>
      <c r="E4" s="940"/>
    </row>
    <row r="5" spans="1:10" ht="17.25" customHeight="1" x14ac:dyDescent="0.4">
      <c r="A5" s="87"/>
      <c r="B5" s="88"/>
      <c r="C5" s="88"/>
      <c r="D5" s="88"/>
      <c r="E5" s="93"/>
      <c r="J5" s="94"/>
    </row>
    <row r="6" spans="1:10" ht="38.25" customHeight="1" x14ac:dyDescent="0.3">
      <c r="A6" s="116"/>
      <c r="B6" s="18" t="s">
        <v>212</v>
      </c>
      <c r="C6" s="18" t="s">
        <v>213</v>
      </c>
      <c r="D6" s="117" t="s">
        <v>10</v>
      </c>
      <c r="E6" s="93"/>
    </row>
    <row r="7" spans="1:10" ht="18.75" x14ac:dyDescent="0.3">
      <c r="A7" s="118"/>
      <c r="B7" s="119"/>
      <c r="C7" s="119"/>
      <c r="D7" s="120"/>
      <c r="E7" s="93"/>
    </row>
    <row r="8" spans="1:10" ht="18.75" x14ac:dyDescent="0.3">
      <c r="A8" s="118" t="s">
        <v>175</v>
      </c>
      <c r="B8" s="119"/>
      <c r="C8" s="119"/>
      <c r="D8" s="121">
        <f>+Stammdaten!B7</f>
        <v>24</v>
      </c>
      <c r="E8" s="93"/>
    </row>
    <row r="9" spans="1:10" ht="18.75" x14ac:dyDescent="0.3">
      <c r="A9" s="118"/>
      <c r="B9" s="119"/>
      <c r="C9" s="119"/>
      <c r="D9" s="120"/>
      <c r="E9" s="93"/>
    </row>
    <row r="10" spans="1:10" ht="18.75" x14ac:dyDescent="0.3">
      <c r="A10" s="14" t="s">
        <v>214</v>
      </c>
      <c r="B10" s="122"/>
      <c r="C10" s="119"/>
      <c r="D10" s="123"/>
      <c r="E10" s="93"/>
      <c r="G10" s="96"/>
      <c r="H10" s="97"/>
    </row>
    <row r="11" spans="1:10" ht="18.75" x14ac:dyDescent="0.3">
      <c r="A11" s="20" t="s">
        <v>215</v>
      </c>
      <c r="B11" s="124">
        <f>'A Flächen'!D154/'Erg.-Übersicht'!D8</f>
        <v>27.833749999999998</v>
      </c>
      <c r="C11" s="125">
        <f>'A Flächen'!D155/'Erg.-Übersicht'!D8</f>
        <v>6.4608333333333334</v>
      </c>
      <c r="D11" s="126">
        <f>C11+B11</f>
        <v>34.294583333333335</v>
      </c>
      <c r="E11" s="93"/>
      <c r="G11" s="139">
        <f>ROUNDDOWN(D11*D8-'A Flächen'!D154-'A Flächen'!D155,2)</f>
        <v>0</v>
      </c>
      <c r="H11" s="140" t="s">
        <v>6</v>
      </c>
    </row>
    <row r="12" spans="1:10" ht="18.75" x14ac:dyDescent="0.3">
      <c r="A12" s="20" t="s">
        <v>216</v>
      </c>
      <c r="B12" s="124">
        <f>'A Flächen'!D174/'Erg.-Übersicht'!D8</f>
        <v>35.589495804615076</v>
      </c>
      <c r="C12" s="125">
        <f>'A Flächen'!D175/'Erg.-Übersicht'!D8</f>
        <v>8.2611146831089552</v>
      </c>
      <c r="D12" s="126">
        <f>C12+B12</f>
        <v>43.850610487724033</v>
      </c>
      <c r="E12" s="93"/>
      <c r="G12" s="139">
        <f>ROUNDDOWN(D12*D8-'A Flächen'!D176,2)</f>
        <v>0</v>
      </c>
      <c r="H12" s="140" t="s">
        <v>6</v>
      </c>
    </row>
    <row r="13" spans="1:10" ht="18.75" x14ac:dyDescent="0.3">
      <c r="A13" s="118"/>
      <c r="B13" s="119"/>
      <c r="C13" s="119"/>
      <c r="D13" s="120"/>
      <c r="E13" s="93"/>
      <c r="G13" s="141"/>
      <c r="H13" s="140"/>
    </row>
    <row r="14" spans="1:10" ht="18.75" x14ac:dyDescent="0.3">
      <c r="A14" s="20" t="s">
        <v>217</v>
      </c>
      <c r="B14" s="22">
        <f>+'E Mietber.'!H8</f>
        <v>396.22798633085978</v>
      </c>
      <c r="C14" s="22">
        <f>+'E Mietber.'!I8</f>
        <v>91.973341058461884</v>
      </c>
      <c r="D14" s="127">
        <f t="shared" ref="D14:D19" si="0">+C14+B14</f>
        <v>488.20132738932165</v>
      </c>
      <c r="E14" s="93"/>
      <c r="G14" s="139">
        <f>+D14-'E Mietber.'!G8</f>
        <v>0</v>
      </c>
      <c r="H14" s="140" t="s">
        <v>6</v>
      </c>
    </row>
    <row r="15" spans="1:10" ht="18.75" x14ac:dyDescent="0.3">
      <c r="A15" s="20" t="s">
        <v>75</v>
      </c>
      <c r="B15" s="24">
        <f>+'E Mietber.'!H10</f>
        <v>68.437666360041774</v>
      </c>
      <c r="C15" s="22">
        <f>+'E Mietber.'!I10</f>
        <v>32.347070254811413</v>
      </c>
      <c r="D15" s="127">
        <f t="shared" si="0"/>
        <v>100.78473661485319</v>
      </c>
      <c r="E15" s="93"/>
      <c r="G15" s="139">
        <f>+D15-'E Mietber.'!G10</f>
        <v>0</v>
      </c>
      <c r="H15" s="140" t="s">
        <v>6</v>
      </c>
    </row>
    <row r="16" spans="1:10" ht="18.75" x14ac:dyDescent="0.3">
      <c r="A16" s="20" t="s">
        <v>135</v>
      </c>
      <c r="B16" s="22">
        <f>+'E Mietber.'!H9</f>
        <v>133.55842082172117</v>
      </c>
      <c r="C16" s="22">
        <f>+'E Mietber.'!I9</f>
        <v>164.52581205104798</v>
      </c>
      <c r="D16" s="127">
        <f t="shared" si="0"/>
        <v>298.08423287276912</v>
      </c>
      <c r="E16" s="93"/>
      <c r="G16" s="139">
        <f>+D16-'E Mietber.'!G9</f>
        <v>0</v>
      </c>
      <c r="H16" s="140" t="s">
        <v>6</v>
      </c>
    </row>
    <row r="17" spans="1:8" ht="18.75" x14ac:dyDescent="0.3">
      <c r="A17" s="20" t="s">
        <v>468</v>
      </c>
      <c r="B17" s="22">
        <f>+'E Mietber.'!H12</f>
        <v>0</v>
      </c>
      <c r="C17" s="22">
        <f>+'E Mietber.'!I12</f>
        <v>26.612108906308315</v>
      </c>
      <c r="D17" s="127">
        <f t="shared" si="0"/>
        <v>26.612108906308315</v>
      </c>
      <c r="E17" s="93"/>
      <c r="G17" s="139">
        <f>+D17-'E Mietber.'!G12</f>
        <v>0</v>
      </c>
      <c r="H17" s="140" t="s">
        <v>6</v>
      </c>
    </row>
    <row r="18" spans="1:8" ht="18.75" x14ac:dyDescent="0.3">
      <c r="A18" s="20" t="s">
        <v>449</v>
      </c>
      <c r="B18" s="22">
        <f>+'E Mietber.'!H13</f>
        <v>0</v>
      </c>
      <c r="C18" s="22">
        <f>+'E Mietber.'!I13</f>
        <v>12.109499136442141</v>
      </c>
      <c r="D18" s="127">
        <f t="shared" si="0"/>
        <v>12.109499136442141</v>
      </c>
      <c r="E18" s="93"/>
      <c r="G18" s="139">
        <f>+D18-'E Mietber.'!G13</f>
        <v>0</v>
      </c>
      <c r="H18" s="140" t="s">
        <v>6</v>
      </c>
    </row>
    <row r="19" spans="1:8" ht="19.5" thickBot="1" x14ac:dyDescent="0.35">
      <c r="A19" s="25" t="s">
        <v>450</v>
      </c>
      <c r="B19" s="27">
        <f>+'E Mietber.'!H14</f>
        <v>0</v>
      </c>
      <c r="C19" s="27">
        <f>+'E Mietber.'!I14</f>
        <v>11.226252158894646</v>
      </c>
      <c r="D19" s="127">
        <f t="shared" si="0"/>
        <v>11.226252158894646</v>
      </c>
      <c r="E19" s="93"/>
      <c r="G19" s="139">
        <f>+D19-'E Mietber.'!G14</f>
        <v>0</v>
      </c>
      <c r="H19" s="140" t="s">
        <v>6</v>
      </c>
    </row>
    <row r="20" spans="1:8" ht="19.5" thickTop="1" x14ac:dyDescent="0.3">
      <c r="A20" s="28" t="s">
        <v>218</v>
      </c>
      <c r="B20" s="30">
        <f>SUM(B14:B19)</f>
        <v>598.22407351262268</v>
      </c>
      <c r="C20" s="30">
        <f>+SUM(C14:C19)</f>
        <v>338.79408356596639</v>
      </c>
      <c r="D20" s="128">
        <f>+SUM(D14:D19)</f>
        <v>937.01815707858918</v>
      </c>
      <c r="E20" s="73"/>
      <c r="G20" s="139">
        <f>+D20-'E Mietber.'!G15</f>
        <v>0</v>
      </c>
      <c r="H20" s="140" t="s">
        <v>6</v>
      </c>
    </row>
    <row r="21" spans="1:8" ht="45" x14ac:dyDescent="0.25">
      <c r="A21" s="31"/>
      <c r="B21" s="129" t="s">
        <v>219</v>
      </c>
      <c r="C21" s="129" t="s">
        <v>465</v>
      </c>
      <c r="D21" s="32"/>
      <c r="E21" s="73"/>
      <c r="G21" s="96"/>
      <c r="H21" s="97"/>
    </row>
    <row r="22" spans="1:8" ht="15.75" thickBot="1" x14ac:dyDescent="0.3">
      <c r="A22" s="31"/>
      <c r="B22" s="32"/>
      <c r="C22" s="32"/>
      <c r="D22" s="32"/>
      <c r="E22" s="73"/>
      <c r="G22" s="96"/>
      <c r="H22" s="97"/>
    </row>
    <row r="23" spans="1:8" ht="19.5" thickTop="1" x14ac:dyDescent="0.3">
      <c r="A23" s="130" t="s">
        <v>220</v>
      </c>
      <c r="B23" s="950">
        <f>+'E Mietber.'!H32</f>
        <v>573.75</v>
      </c>
      <c r="C23" s="952"/>
      <c r="D23" s="954">
        <f>+SUM(B23:C24)</f>
        <v>573.75</v>
      </c>
      <c r="E23" s="73"/>
      <c r="G23" s="96"/>
      <c r="H23" s="97"/>
    </row>
    <row r="24" spans="1:8" ht="15.75" thickBot="1" x14ac:dyDescent="0.3">
      <c r="A24" s="131" t="s">
        <v>221</v>
      </c>
      <c r="B24" s="951"/>
      <c r="C24" s="953"/>
      <c r="D24" s="955"/>
      <c r="E24" s="73"/>
      <c r="G24" s="96"/>
      <c r="H24" s="97"/>
    </row>
    <row r="25" spans="1:8" ht="15.75" thickTop="1" x14ac:dyDescent="0.25">
      <c r="A25" s="132" t="str">
        <f>+IF('E Mietber.'!H24&lt;0,"Achtung! Da KdU&lt;100% ggfs Regelsatz-Absenkung für Nebenkosten wegen anderweitiger Bedarfsdeckung","")</f>
        <v/>
      </c>
      <c r="B25" s="133"/>
      <c r="C25" s="133"/>
      <c r="D25" s="133"/>
      <c r="E25" s="73"/>
      <c r="F25" s="85"/>
      <c r="G25" s="96"/>
      <c r="H25" s="97"/>
    </row>
    <row r="26" spans="1:8" ht="18.75" x14ac:dyDescent="0.3">
      <c r="A26" s="38" t="s">
        <v>222</v>
      </c>
      <c r="B26" s="943">
        <f>+'E Mietber.'!H39</f>
        <v>24.474073512622795</v>
      </c>
      <c r="C26" s="941"/>
      <c r="D26" s="945">
        <f>+SUM(B26:C27)</f>
        <v>24.474073512622795</v>
      </c>
      <c r="E26" s="73"/>
      <c r="G26" s="103"/>
      <c r="H26" s="97"/>
    </row>
    <row r="27" spans="1:8" x14ac:dyDescent="0.25">
      <c r="A27" s="40" t="s">
        <v>460</v>
      </c>
      <c r="B27" s="956"/>
      <c r="C27" s="957"/>
      <c r="D27" s="957"/>
      <c r="E27" s="73"/>
      <c r="G27" s="96"/>
      <c r="H27" s="97"/>
    </row>
    <row r="28" spans="1:8" ht="18.75" x14ac:dyDescent="0.3">
      <c r="A28" s="38" t="s">
        <v>223</v>
      </c>
      <c r="B28" s="941"/>
      <c r="C28" s="943">
        <f>+'E Mietber.'!I46</f>
        <v>338.79408356596633</v>
      </c>
      <c r="D28" s="945">
        <f>+SUM(B28:C29)</f>
        <v>338.79408356596633</v>
      </c>
      <c r="E28" s="73"/>
      <c r="G28" s="96"/>
      <c r="H28" s="97"/>
    </row>
    <row r="29" spans="1:8" ht="19.5" thickBot="1" x14ac:dyDescent="0.35">
      <c r="A29" s="42" t="s">
        <v>224</v>
      </c>
      <c r="B29" s="942"/>
      <c r="C29" s="944"/>
      <c r="D29" s="942"/>
      <c r="E29" s="73"/>
      <c r="G29" s="96"/>
      <c r="H29" s="97"/>
    </row>
    <row r="30" spans="1:8" ht="19.5" thickTop="1" x14ac:dyDescent="0.3">
      <c r="A30" s="130" t="s">
        <v>225</v>
      </c>
      <c r="B30" s="946"/>
      <c r="C30" s="946"/>
      <c r="D30" s="948">
        <f>SUM(D26:D29)</f>
        <v>363.26815707858913</v>
      </c>
      <c r="E30" s="73"/>
      <c r="G30" s="96"/>
      <c r="H30" s="97"/>
    </row>
    <row r="31" spans="1:8" ht="19.5" thickBot="1" x14ac:dyDescent="0.35">
      <c r="A31" s="134" t="s">
        <v>226</v>
      </c>
      <c r="B31" s="947"/>
      <c r="C31" s="947"/>
      <c r="D31" s="949"/>
      <c r="E31" s="73"/>
      <c r="G31" s="139">
        <f>+'E Mietber.'!G15-'Erg.-Übersicht'!D23-'Erg.-Übersicht'!D30</f>
        <v>0</v>
      </c>
      <c r="H31" s="140" t="s">
        <v>6</v>
      </c>
    </row>
    <row r="32" spans="1:8" ht="15.75" thickTop="1" x14ac:dyDescent="0.25">
      <c r="A32" s="76"/>
      <c r="B32" s="88"/>
      <c r="C32" s="88"/>
      <c r="D32" s="88"/>
      <c r="E32" s="73"/>
      <c r="G32" s="96"/>
      <c r="H32" s="97"/>
    </row>
    <row r="33" spans="1:8" x14ac:dyDescent="0.25">
      <c r="A33" s="76"/>
      <c r="B33" s="88"/>
      <c r="C33" s="88"/>
      <c r="D33" s="88"/>
      <c r="E33" s="105"/>
      <c r="G33" s="96"/>
      <c r="H33" s="97"/>
    </row>
    <row r="34" spans="1:8" ht="18.75" x14ac:dyDescent="0.3">
      <c r="A34" s="106" t="s">
        <v>513</v>
      </c>
      <c r="B34" s="88"/>
      <c r="C34" s="88"/>
      <c r="D34" s="88"/>
      <c r="E34" s="105"/>
      <c r="G34" s="96"/>
      <c r="H34" s="97"/>
    </row>
    <row r="35" spans="1:8" ht="18.75" x14ac:dyDescent="0.3">
      <c r="A35" s="106" t="s">
        <v>227</v>
      </c>
      <c r="B35" s="107"/>
      <c r="C35" s="88"/>
      <c r="D35" s="88"/>
      <c r="E35" s="105"/>
      <c r="F35" s="85"/>
      <c r="G35" s="96"/>
      <c r="H35" s="97"/>
    </row>
    <row r="36" spans="1:8" ht="30" x14ac:dyDescent="0.25">
      <c r="A36" s="135" t="s">
        <v>228</v>
      </c>
      <c r="B36" s="54">
        <f>+B15</f>
        <v>68.437666360041774</v>
      </c>
      <c r="C36" s="88"/>
      <c r="D36" s="88"/>
      <c r="E36" s="105"/>
      <c r="G36" s="96"/>
      <c r="H36" s="97"/>
    </row>
    <row r="37" spans="1:8" x14ac:dyDescent="0.25">
      <c r="A37" s="136" t="s">
        <v>229</v>
      </c>
      <c r="B37" s="54">
        <f>'C_1 Nebenk.'!E30*'A Flächen'!F184</f>
        <v>27.127632658647268</v>
      </c>
      <c r="C37" s="88"/>
      <c r="D37" s="88"/>
      <c r="E37" s="105"/>
      <c r="G37" s="96"/>
      <c r="H37" s="97"/>
    </row>
    <row r="38" spans="1:8" ht="45.75" customHeight="1" x14ac:dyDescent="0.25">
      <c r="A38" s="135" t="s">
        <v>515</v>
      </c>
      <c r="B38" s="54">
        <f>'B_1 Geb. Kaltmiete'!D111*'A Flächen'!E184*365/12</f>
        <v>53.101709083546581</v>
      </c>
      <c r="C38" s="88"/>
      <c r="D38" s="88"/>
      <c r="E38" s="105"/>
      <c r="G38" s="96"/>
      <c r="H38" s="97"/>
    </row>
    <row r="39" spans="1:8" ht="30" x14ac:dyDescent="0.25">
      <c r="A39" s="135" t="s">
        <v>230</v>
      </c>
      <c r="B39" s="54">
        <f>+'C_1 Nebenk.'!E27</f>
        <v>1.6908495024724506</v>
      </c>
      <c r="C39" s="88"/>
      <c r="D39" s="88"/>
      <c r="E39" s="105"/>
      <c r="G39" s="96"/>
      <c r="H39" s="97"/>
    </row>
    <row r="40" spans="1:8" ht="31.5" customHeight="1" thickBot="1" x14ac:dyDescent="0.3">
      <c r="A40" s="137" t="s">
        <v>514</v>
      </c>
      <c r="B40" s="55" t="str">
        <f>IFERROR(IF(B20-B36-B37-B38-B39-'E Mietber.'!H21&gt;0,B20-B36-B37-B38-B39-'E Mietber.'!H21,""),"")</f>
        <v/>
      </c>
      <c r="C40" s="88"/>
      <c r="D40" s="88"/>
      <c r="E40" s="105"/>
      <c r="F40" s="109"/>
      <c r="G40" s="110"/>
      <c r="H40" s="111"/>
    </row>
    <row r="41" spans="1:8" ht="15.75" thickTop="1" x14ac:dyDescent="0.25">
      <c r="A41" s="13" t="s">
        <v>516</v>
      </c>
      <c r="B41" s="138">
        <f>SUM(B36:B40)</f>
        <v>150.35785760470807</v>
      </c>
      <c r="C41" s="88"/>
      <c r="D41" s="88"/>
      <c r="E41" s="105"/>
      <c r="G41" s="96"/>
      <c r="H41" s="97"/>
    </row>
    <row r="42" spans="1:8" x14ac:dyDescent="0.25">
      <c r="A42" s="113"/>
      <c r="B42" s="114"/>
      <c r="C42" s="114"/>
      <c r="D42" s="114"/>
      <c r="E42" s="115"/>
      <c r="G42" s="96"/>
      <c r="H42" s="97"/>
    </row>
  </sheetData>
  <sheetProtection sheet="1" objects="1" scenarios="1"/>
  <mergeCells count="13">
    <mergeCell ref="A4:E4"/>
    <mergeCell ref="B28:B29"/>
    <mergeCell ref="C28:C29"/>
    <mergeCell ref="D28:D29"/>
    <mergeCell ref="B30:B31"/>
    <mergeCell ref="C30:C31"/>
    <mergeCell ref="D30:D31"/>
    <mergeCell ref="B23:B24"/>
    <mergeCell ref="C23:C24"/>
    <mergeCell ref="D23:D24"/>
    <mergeCell ref="B26:B27"/>
    <mergeCell ref="C26:C27"/>
    <mergeCell ref="D26:D27"/>
  </mergeCells>
  <conditionalFormatting sqref="A25">
    <cfRule type="containsErrors" dxfId="108" priority="11">
      <formula>ISERROR(A25)</formula>
    </cfRule>
  </conditionalFormatting>
  <conditionalFormatting sqref="G14:G16 G18:G20">
    <cfRule type="expression" dxfId="107" priority="9">
      <formula>G14&lt;&gt;0</formula>
    </cfRule>
  </conditionalFormatting>
  <conditionalFormatting sqref="G31">
    <cfRule type="expression" dxfId="106" priority="8">
      <formula>G31&lt;&gt;0</formula>
    </cfRule>
  </conditionalFormatting>
  <conditionalFormatting sqref="G17">
    <cfRule type="expression" dxfId="105" priority="6">
      <formula>G17&lt;&gt;0</formula>
    </cfRule>
  </conditionalFormatting>
  <conditionalFormatting sqref="G12">
    <cfRule type="expression" dxfId="104" priority="3">
      <formula>$G$12=""</formula>
    </cfRule>
    <cfRule type="expression" dxfId="103" priority="10">
      <formula>G12&lt;&gt;0</formula>
    </cfRule>
  </conditionalFormatting>
  <conditionalFormatting sqref="G11">
    <cfRule type="expression" dxfId="102" priority="1">
      <formula>$G$11=""</formula>
    </cfRule>
    <cfRule type="expression" dxfId="101" priority="2">
      <formula>G11&lt;&gt;0</formula>
    </cfRule>
  </conditionalFormatting>
  <pageMargins left="0.7" right="0.7" top="0.78740157499999996" bottom="0.78740157499999996" header="0.3" footer="0.3"/>
  <pageSetup paperSize="9" scale="81" orientation="portrait"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K192"/>
  <sheetViews>
    <sheetView zoomScaleNormal="100" workbookViewId="0">
      <selection activeCell="A6" sqref="A6"/>
    </sheetView>
  </sheetViews>
  <sheetFormatPr baseColWidth="10" defaultColWidth="11.42578125" defaultRowHeight="15" x14ac:dyDescent="0.25"/>
  <cols>
    <col min="1" max="1" width="11.140625" style="146" customWidth="1"/>
    <col min="2" max="2" width="24.42578125" style="146" customWidth="1"/>
    <col min="3" max="4" width="14" style="146" customWidth="1"/>
    <col min="5" max="5" width="13.85546875" style="146" customWidth="1"/>
    <col min="6" max="6" width="13.140625" style="146" customWidth="1"/>
    <col min="7" max="7" width="13.28515625" style="146" customWidth="1"/>
    <col min="8" max="8" width="5" style="67" customWidth="1"/>
    <col min="9" max="9" width="7.7109375" style="146" bestFit="1" customWidth="1"/>
    <col min="10" max="16384" width="11.42578125" style="146"/>
  </cols>
  <sheetData>
    <row r="1" spans="1:10" ht="26.25" x14ac:dyDescent="0.4">
      <c r="A1" s="64" t="s">
        <v>30</v>
      </c>
      <c r="B1" s="145"/>
      <c r="C1" s="145"/>
      <c r="D1" s="145"/>
      <c r="E1" s="145"/>
      <c r="F1" s="145"/>
      <c r="G1" s="92"/>
    </row>
    <row r="2" spans="1:10" ht="26.25" x14ac:dyDescent="0.4">
      <c r="A2" s="68" t="s">
        <v>24</v>
      </c>
      <c r="B2" s="147"/>
      <c r="C2" s="147"/>
      <c r="D2" s="147"/>
      <c r="E2" s="148"/>
      <c r="F2" s="147"/>
      <c r="G2" s="70" t="str">
        <f>+Stammdaten!D2</f>
        <v>Version 1.3</v>
      </c>
    </row>
    <row r="3" spans="1:10" x14ac:dyDescent="0.25">
      <c r="A3" s="143" t="str">
        <f>+Stammdaten!B5</f>
        <v>Wohnheim Musterdorf</v>
      </c>
      <c r="B3" s="149"/>
      <c r="C3" s="473" t="str">
        <f>+Stammdaten!B3</f>
        <v>Beispiel-Landkreis</v>
      </c>
      <c r="D3" s="150"/>
      <c r="E3" s="151"/>
      <c r="F3" s="71" t="s">
        <v>45</v>
      </c>
      <c r="G3" s="72"/>
    </row>
    <row r="4" spans="1:10" s="155" customFormat="1" ht="15.75" thickBot="1" x14ac:dyDescent="0.3">
      <c r="A4" s="152"/>
      <c r="B4" s="153"/>
      <c r="C4" s="153"/>
      <c r="D4" s="153"/>
      <c r="E4" s="153"/>
      <c r="F4" s="153"/>
      <c r="G4" s="154"/>
    </row>
    <row r="5" spans="1:10" s="155" customFormat="1" ht="30.75" customHeight="1" thickBot="1" x14ac:dyDescent="0.3">
      <c r="A5" s="958" t="s">
        <v>499</v>
      </c>
      <c r="B5" s="959"/>
      <c r="C5" s="959"/>
      <c r="D5" s="959"/>
      <c r="E5" s="959"/>
      <c r="F5" s="959"/>
      <c r="G5" s="960"/>
      <c r="J5" s="156"/>
    </row>
    <row r="6" spans="1:10" s="155" customFormat="1" ht="15.75" thickBot="1" x14ac:dyDescent="0.3">
      <c r="A6" s="158"/>
      <c r="B6" s="159"/>
      <c r="C6" s="159"/>
      <c r="D6" s="159"/>
      <c r="E6" s="159"/>
      <c r="F6" s="159"/>
      <c r="G6" s="160"/>
      <c r="J6" s="157"/>
    </row>
    <row r="7" spans="1:10" s="155" customFormat="1" ht="15.75" thickBot="1" x14ac:dyDescent="0.3">
      <c r="A7" s="161" t="s">
        <v>111</v>
      </c>
      <c r="B7" s="162"/>
      <c r="C7" s="162"/>
      <c r="D7" s="162"/>
      <c r="E7" s="262">
        <v>1</v>
      </c>
      <c r="F7" s="263">
        <v>0</v>
      </c>
      <c r="G7" s="263">
        <v>0</v>
      </c>
    </row>
    <row r="8" spans="1:10" ht="30.75" thickBot="1" x14ac:dyDescent="0.3">
      <c r="A8" s="163" t="s">
        <v>0</v>
      </c>
      <c r="B8" s="163" t="s">
        <v>1</v>
      </c>
      <c r="C8" s="164" t="s">
        <v>115</v>
      </c>
      <c r="D8" s="165" t="s">
        <v>117</v>
      </c>
      <c r="E8" s="166" t="s">
        <v>116</v>
      </c>
      <c r="F8" s="167" t="s">
        <v>21</v>
      </c>
      <c r="G8" s="167" t="s">
        <v>124</v>
      </c>
    </row>
    <row r="9" spans="1:10" x14ac:dyDescent="0.25">
      <c r="A9" s="168" t="s">
        <v>261</v>
      </c>
      <c r="B9" s="169" t="s">
        <v>262</v>
      </c>
      <c r="C9" s="169" t="s">
        <v>263</v>
      </c>
      <c r="D9" s="170">
        <v>19</v>
      </c>
      <c r="E9" s="474">
        <f t="shared" ref="E9:E37" si="0">+D9*$E$7</f>
        <v>19</v>
      </c>
      <c r="F9" s="475">
        <f t="shared" ref="F9:F37" si="1">+D9*$F$7</f>
        <v>0</v>
      </c>
      <c r="G9" s="475">
        <f>+D9*$G$7</f>
        <v>0</v>
      </c>
    </row>
    <row r="10" spans="1:10" x14ac:dyDescent="0.25">
      <c r="A10" s="168" t="s">
        <v>264</v>
      </c>
      <c r="B10" s="169" t="s">
        <v>265</v>
      </c>
      <c r="C10" s="169" t="s">
        <v>263</v>
      </c>
      <c r="D10" s="170">
        <v>5.56</v>
      </c>
      <c r="E10" s="476">
        <f t="shared" si="0"/>
        <v>5.56</v>
      </c>
      <c r="F10" s="477">
        <f t="shared" si="1"/>
        <v>0</v>
      </c>
      <c r="G10" s="475">
        <f t="shared" ref="G10:G65" si="2">+D10*$G$7</f>
        <v>0</v>
      </c>
    </row>
    <row r="11" spans="1:10" x14ac:dyDescent="0.25">
      <c r="A11" s="168" t="s">
        <v>266</v>
      </c>
      <c r="B11" s="169" t="s">
        <v>267</v>
      </c>
      <c r="C11" s="169" t="s">
        <v>263</v>
      </c>
      <c r="D11" s="170">
        <v>28</v>
      </c>
      <c r="E11" s="476">
        <f t="shared" si="0"/>
        <v>28</v>
      </c>
      <c r="F11" s="477">
        <f t="shared" si="1"/>
        <v>0</v>
      </c>
      <c r="G11" s="475">
        <f t="shared" si="2"/>
        <v>0</v>
      </c>
    </row>
    <row r="12" spans="1:10" x14ac:dyDescent="0.25">
      <c r="A12" s="168" t="s">
        <v>268</v>
      </c>
      <c r="B12" s="169" t="s">
        <v>269</v>
      </c>
      <c r="C12" s="169" t="s">
        <v>263</v>
      </c>
      <c r="D12" s="170">
        <v>4.0999999999999996</v>
      </c>
      <c r="E12" s="476">
        <f t="shared" si="0"/>
        <v>4.0999999999999996</v>
      </c>
      <c r="F12" s="477">
        <f t="shared" si="1"/>
        <v>0</v>
      </c>
      <c r="G12" s="475">
        <f t="shared" si="2"/>
        <v>0</v>
      </c>
    </row>
    <row r="13" spans="1:10" x14ac:dyDescent="0.25">
      <c r="A13" s="168" t="s">
        <v>270</v>
      </c>
      <c r="B13" s="169" t="s">
        <v>271</v>
      </c>
      <c r="C13" s="169" t="s">
        <v>263</v>
      </c>
      <c r="D13" s="170">
        <v>15</v>
      </c>
      <c r="E13" s="476">
        <f t="shared" si="0"/>
        <v>15</v>
      </c>
      <c r="F13" s="477">
        <f t="shared" si="1"/>
        <v>0</v>
      </c>
      <c r="G13" s="475">
        <f t="shared" si="2"/>
        <v>0</v>
      </c>
    </row>
    <row r="14" spans="1:10" x14ac:dyDescent="0.25">
      <c r="A14" s="168" t="s">
        <v>272</v>
      </c>
      <c r="B14" s="169" t="s">
        <v>271</v>
      </c>
      <c r="C14" s="169" t="s">
        <v>263</v>
      </c>
      <c r="D14" s="170">
        <v>15</v>
      </c>
      <c r="E14" s="476">
        <f t="shared" si="0"/>
        <v>15</v>
      </c>
      <c r="F14" s="477">
        <f t="shared" si="1"/>
        <v>0</v>
      </c>
      <c r="G14" s="475">
        <f t="shared" si="2"/>
        <v>0</v>
      </c>
    </row>
    <row r="15" spans="1:10" x14ac:dyDescent="0.25">
      <c r="A15" s="168" t="s">
        <v>273</v>
      </c>
      <c r="B15" s="169" t="s">
        <v>271</v>
      </c>
      <c r="C15" s="169" t="s">
        <v>263</v>
      </c>
      <c r="D15" s="170">
        <v>15</v>
      </c>
      <c r="E15" s="476">
        <f t="shared" si="0"/>
        <v>15</v>
      </c>
      <c r="F15" s="477">
        <f t="shared" si="1"/>
        <v>0</v>
      </c>
      <c r="G15" s="475">
        <f t="shared" si="2"/>
        <v>0</v>
      </c>
    </row>
    <row r="16" spans="1:10" x14ac:dyDescent="0.25">
      <c r="A16" s="168" t="s">
        <v>274</v>
      </c>
      <c r="B16" s="169" t="s">
        <v>271</v>
      </c>
      <c r="C16" s="169" t="s">
        <v>263</v>
      </c>
      <c r="D16" s="170">
        <v>15</v>
      </c>
      <c r="E16" s="476">
        <f t="shared" si="0"/>
        <v>15</v>
      </c>
      <c r="F16" s="477">
        <f t="shared" si="1"/>
        <v>0</v>
      </c>
      <c r="G16" s="475">
        <f t="shared" si="2"/>
        <v>0</v>
      </c>
    </row>
    <row r="17" spans="1:7" x14ac:dyDescent="0.25">
      <c r="A17" s="168" t="s">
        <v>275</v>
      </c>
      <c r="B17" s="169" t="s">
        <v>271</v>
      </c>
      <c r="C17" s="169" t="s">
        <v>263</v>
      </c>
      <c r="D17" s="170">
        <v>15</v>
      </c>
      <c r="E17" s="476">
        <f t="shared" si="0"/>
        <v>15</v>
      </c>
      <c r="F17" s="477">
        <f t="shared" si="1"/>
        <v>0</v>
      </c>
      <c r="G17" s="475">
        <f t="shared" si="2"/>
        <v>0</v>
      </c>
    </row>
    <row r="18" spans="1:7" x14ac:dyDescent="0.25">
      <c r="A18" s="168" t="s">
        <v>276</v>
      </c>
      <c r="B18" s="169" t="s">
        <v>265</v>
      </c>
      <c r="C18" s="169" t="s">
        <v>263</v>
      </c>
      <c r="D18" s="170">
        <v>9</v>
      </c>
      <c r="E18" s="476">
        <f t="shared" si="0"/>
        <v>9</v>
      </c>
      <c r="F18" s="477">
        <f t="shared" si="1"/>
        <v>0</v>
      </c>
      <c r="G18" s="475">
        <f t="shared" si="2"/>
        <v>0</v>
      </c>
    </row>
    <row r="19" spans="1:7" x14ac:dyDescent="0.25">
      <c r="A19" s="168" t="s">
        <v>277</v>
      </c>
      <c r="B19" s="169" t="s">
        <v>265</v>
      </c>
      <c r="C19" s="169" t="s">
        <v>263</v>
      </c>
      <c r="D19" s="170">
        <v>14</v>
      </c>
      <c r="E19" s="476">
        <f t="shared" si="0"/>
        <v>14</v>
      </c>
      <c r="F19" s="477">
        <f t="shared" si="1"/>
        <v>0</v>
      </c>
      <c r="G19" s="475">
        <f t="shared" si="2"/>
        <v>0</v>
      </c>
    </row>
    <row r="20" spans="1:7" x14ac:dyDescent="0.25">
      <c r="A20" s="168" t="s">
        <v>278</v>
      </c>
      <c r="B20" s="169" t="s">
        <v>279</v>
      </c>
      <c r="C20" s="169" t="s">
        <v>263</v>
      </c>
      <c r="D20" s="170">
        <v>4.13</v>
      </c>
      <c r="E20" s="476">
        <f t="shared" si="0"/>
        <v>4.13</v>
      </c>
      <c r="F20" s="477">
        <f t="shared" si="1"/>
        <v>0</v>
      </c>
      <c r="G20" s="475">
        <f t="shared" si="2"/>
        <v>0</v>
      </c>
    </row>
    <row r="21" spans="1:7" x14ac:dyDescent="0.25">
      <c r="A21" s="168" t="s">
        <v>280</v>
      </c>
      <c r="B21" s="169" t="s">
        <v>281</v>
      </c>
      <c r="C21" s="169" t="s">
        <v>263</v>
      </c>
      <c r="D21" s="170">
        <v>1.8</v>
      </c>
      <c r="E21" s="476">
        <f t="shared" si="0"/>
        <v>1.8</v>
      </c>
      <c r="F21" s="477">
        <f t="shared" si="1"/>
        <v>0</v>
      </c>
      <c r="G21" s="475">
        <f t="shared" si="2"/>
        <v>0</v>
      </c>
    </row>
    <row r="22" spans="1:7" x14ac:dyDescent="0.25">
      <c r="A22" s="168" t="s">
        <v>282</v>
      </c>
      <c r="B22" s="169" t="s">
        <v>267</v>
      </c>
      <c r="C22" s="169" t="s">
        <v>263</v>
      </c>
      <c r="D22" s="170">
        <v>28</v>
      </c>
      <c r="E22" s="476">
        <f t="shared" si="0"/>
        <v>28</v>
      </c>
      <c r="F22" s="477">
        <f t="shared" si="1"/>
        <v>0</v>
      </c>
      <c r="G22" s="475">
        <f t="shared" si="2"/>
        <v>0</v>
      </c>
    </row>
    <row r="23" spans="1:7" x14ac:dyDescent="0.25">
      <c r="A23" s="168" t="s">
        <v>283</v>
      </c>
      <c r="B23" s="169" t="s">
        <v>269</v>
      </c>
      <c r="C23" s="169" t="s">
        <v>263</v>
      </c>
      <c r="D23" s="170">
        <v>4.0999999999999996</v>
      </c>
      <c r="E23" s="476">
        <f t="shared" si="0"/>
        <v>4.0999999999999996</v>
      </c>
      <c r="F23" s="477">
        <f t="shared" si="1"/>
        <v>0</v>
      </c>
      <c r="G23" s="475">
        <f t="shared" si="2"/>
        <v>0</v>
      </c>
    </row>
    <row r="24" spans="1:7" x14ac:dyDescent="0.25">
      <c r="A24" s="168" t="s">
        <v>284</v>
      </c>
      <c r="B24" s="169" t="s">
        <v>271</v>
      </c>
      <c r="C24" s="169" t="s">
        <v>263</v>
      </c>
      <c r="D24" s="170">
        <v>15.05</v>
      </c>
      <c r="E24" s="476">
        <f t="shared" si="0"/>
        <v>15.05</v>
      </c>
      <c r="F24" s="477">
        <f t="shared" si="1"/>
        <v>0</v>
      </c>
      <c r="G24" s="475">
        <f t="shared" si="2"/>
        <v>0</v>
      </c>
    </row>
    <row r="25" spans="1:7" x14ac:dyDescent="0.25">
      <c r="A25" s="168" t="s">
        <v>285</v>
      </c>
      <c r="B25" s="169" t="s">
        <v>271</v>
      </c>
      <c r="C25" s="169" t="s">
        <v>263</v>
      </c>
      <c r="D25" s="170">
        <v>15</v>
      </c>
      <c r="E25" s="476">
        <f t="shared" si="0"/>
        <v>15</v>
      </c>
      <c r="F25" s="477">
        <f t="shared" si="1"/>
        <v>0</v>
      </c>
      <c r="G25" s="475">
        <f t="shared" si="2"/>
        <v>0</v>
      </c>
    </row>
    <row r="26" spans="1:7" x14ac:dyDescent="0.25">
      <c r="A26" s="168" t="s">
        <v>286</v>
      </c>
      <c r="B26" s="169" t="s">
        <v>271</v>
      </c>
      <c r="C26" s="169" t="s">
        <v>263</v>
      </c>
      <c r="D26" s="170">
        <v>15</v>
      </c>
      <c r="E26" s="476">
        <f t="shared" si="0"/>
        <v>15</v>
      </c>
      <c r="F26" s="477">
        <f t="shared" si="1"/>
        <v>0</v>
      </c>
      <c r="G26" s="475">
        <f t="shared" si="2"/>
        <v>0</v>
      </c>
    </row>
    <row r="27" spans="1:7" x14ac:dyDescent="0.25">
      <c r="A27" s="168" t="s">
        <v>287</v>
      </c>
      <c r="B27" s="169" t="s">
        <v>271</v>
      </c>
      <c r="C27" s="169" t="s">
        <v>263</v>
      </c>
      <c r="D27" s="170">
        <v>15</v>
      </c>
      <c r="E27" s="476">
        <f t="shared" si="0"/>
        <v>15</v>
      </c>
      <c r="F27" s="477">
        <f t="shared" si="1"/>
        <v>0</v>
      </c>
      <c r="G27" s="475">
        <f t="shared" si="2"/>
        <v>0</v>
      </c>
    </row>
    <row r="28" spans="1:7" x14ac:dyDescent="0.25">
      <c r="A28" s="168" t="s">
        <v>288</v>
      </c>
      <c r="B28" s="169" t="s">
        <v>271</v>
      </c>
      <c r="C28" s="169" t="s">
        <v>263</v>
      </c>
      <c r="D28" s="170">
        <v>15</v>
      </c>
      <c r="E28" s="476">
        <f t="shared" si="0"/>
        <v>15</v>
      </c>
      <c r="F28" s="477">
        <f t="shared" si="1"/>
        <v>0</v>
      </c>
      <c r="G28" s="475">
        <f t="shared" si="2"/>
        <v>0</v>
      </c>
    </row>
    <row r="29" spans="1:7" x14ac:dyDescent="0.25">
      <c r="A29" s="168" t="s">
        <v>289</v>
      </c>
      <c r="B29" s="169" t="s">
        <v>265</v>
      </c>
      <c r="C29" s="169" t="s">
        <v>263</v>
      </c>
      <c r="D29" s="170">
        <v>9</v>
      </c>
      <c r="E29" s="476">
        <f t="shared" si="0"/>
        <v>9</v>
      </c>
      <c r="F29" s="477">
        <f t="shared" si="1"/>
        <v>0</v>
      </c>
      <c r="G29" s="475">
        <f t="shared" si="2"/>
        <v>0</v>
      </c>
    </row>
    <row r="30" spans="1:7" x14ac:dyDescent="0.25">
      <c r="A30" s="168" t="s">
        <v>290</v>
      </c>
      <c r="B30" s="169" t="s">
        <v>265</v>
      </c>
      <c r="C30" s="169" t="s">
        <v>263</v>
      </c>
      <c r="D30" s="170">
        <v>14</v>
      </c>
      <c r="E30" s="476">
        <f t="shared" si="0"/>
        <v>14</v>
      </c>
      <c r="F30" s="477">
        <f t="shared" si="1"/>
        <v>0</v>
      </c>
      <c r="G30" s="475">
        <f t="shared" si="2"/>
        <v>0</v>
      </c>
    </row>
    <row r="31" spans="1:7" x14ac:dyDescent="0.25">
      <c r="A31" s="168" t="s">
        <v>291</v>
      </c>
      <c r="B31" s="169" t="s">
        <v>281</v>
      </c>
      <c r="C31" s="169" t="s">
        <v>263</v>
      </c>
      <c r="D31" s="170">
        <v>1.8</v>
      </c>
      <c r="E31" s="476">
        <f t="shared" si="0"/>
        <v>1.8</v>
      </c>
      <c r="F31" s="477">
        <f t="shared" si="1"/>
        <v>0</v>
      </c>
      <c r="G31" s="475">
        <f t="shared" si="2"/>
        <v>0</v>
      </c>
    </row>
    <row r="32" spans="1:7" x14ac:dyDescent="0.25">
      <c r="A32" s="168" t="s">
        <v>292</v>
      </c>
      <c r="B32" s="169" t="s">
        <v>279</v>
      </c>
      <c r="C32" s="169" t="s">
        <v>263</v>
      </c>
      <c r="D32" s="170">
        <v>4.13</v>
      </c>
      <c r="E32" s="476">
        <f t="shared" si="0"/>
        <v>4.13</v>
      </c>
      <c r="F32" s="477">
        <f t="shared" si="1"/>
        <v>0</v>
      </c>
      <c r="G32" s="475">
        <f t="shared" si="2"/>
        <v>0</v>
      </c>
    </row>
    <row r="33" spans="1:7" x14ac:dyDescent="0.25">
      <c r="A33" s="168" t="s">
        <v>293</v>
      </c>
      <c r="B33" s="169" t="s">
        <v>294</v>
      </c>
      <c r="C33" s="169" t="s">
        <v>263</v>
      </c>
      <c r="D33" s="170">
        <v>19</v>
      </c>
      <c r="E33" s="476">
        <f t="shared" si="0"/>
        <v>19</v>
      </c>
      <c r="F33" s="477">
        <f t="shared" si="1"/>
        <v>0</v>
      </c>
      <c r="G33" s="475">
        <f t="shared" si="2"/>
        <v>0</v>
      </c>
    </row>
    <row r="34" spans="1:7" x14ac:dyDescent="0.25">
      <c r="A34" s="168" t="s">
        <v>295</v>
      </c>
      <c r="B34" s="169" t="s">
        <v>265</v>
      </c>
      <c r="C34" s="169" t="s">
        <v>263</v>
      </c>
      <c r="D34" s="170">
        <v>5.56</v>
      </c>
      <c r="E34" s="476">
        <f t="shared" si="0"/>
        <v>5.56</v>
      </c>
      <c r="F34" s="477">
        <f t="shared" si="1"/>
        <v>0</v>
      </c>
      <c r="G34" s="475">
        <f t="shared" si="2"/>
        <v>0</v>
      </c>
    </row>
    <row r="35" spans="1:7" x14ac:dyDescent="0.25">
      <c r="A35" s="168" t="s">
        <v>296</v>
      </c>
      <c r="B35" s="169" t="s">
        <v>297</v>
      </c>
      <c r="C35" s="169" t="s">
        <v>263</v>
      </c>
      <c r="D35" s="170">
        <v>18.21</v>
      </c>
      <c r="E35" s="476">
        <f t="shared" si="0"/>
        <v>18.21</v>
      </c>
      <c r="F35" s="477">
        <f t="shared" si="1"/>
        <v>0</v>
      </c>
      <c r="G35" s="475">
        <f t="shared" si="2"/>
        <v>0</v>
      </c>
    </row>
    <row r="36" spans="1:7" x14ac:dyDescent="0.25">
      <c r="A36" s="168" t="s">
        <v>298</v>
      </c>
      <c r="B36" s="169" t="s">
        <v>299</v>
      </c>
      <c r="C36" s="169" t="s">
        <v>300</v>
      </c>
      <c r="D36" s="170">
        <v>19</v>
      </c>
      <c r="E36" s="476">
        <f t="shared" si="0"/>
        <v>19</v>
      </c>
      <c r="F36" s="477">
        <f t="shared" si="1"/>
        <v>0</v>
      </c>
      <c r="G36" s="475">
        <f t="shared" si="2"/>
        <v>0</v>
      </c>
    </row>
    <row r="37" spans="1:7" x14ac:dyDescent="0.25">
      <c r="A37" s="168" t="s">
        <v>301</v>
      </c>
      <c r="B37" s="169" t="s">
        <v>265</v>
      </c>
      <c r="C37" s="169" t="s">
        <v>300</v>
      </c>
      <c r="D37" s="170">
        <v>5.56</v>
      </c>
      <c r="E37" s="476">
        <f t="shared" si="0"/>
        <v>5.56</v>
      </c>
      <c r="F37" s="477">
        <f t="shared" si="1"/>
        <v>0</v>
      </c>
      <c r="G37" s="475">
        <f t="shared" si="2"/>
        <v>0</v>
      </c>
    </row>
    <row r="38" spans="1:7" x14ac:dyDescent="0.25">
      <c r="A38" s="168" t="s">
        <v>302</v>
      </c>
      <c r="B38" s="169" t="s">
        <v>267</v>
      </c>
      <c r="C38" s="169" t="s">
        <v>300</v>
      </c>
      <c r="D38" s="170">
        <v>28</v>
      </c>
      <c r="E38" s="476">
        <f t="shared" ref="E38:E65" si="3">+D38*$E$7</f>
        <v>28</v>
      </c>
      <c r="F38" s="477">
        <f t="shared" ref="F38:F65" si="4">+D38*$F$7</f>
        <v>0</v>
      </c>
      <c r="G38" s="475">
        <f t="shared" si="2"/>
        <v>0</v>
      </c>
    </row>
    <row r="39" spans="1:7" x14ac:dyDescent="0.25">
      <c r="A39" s="168" t="s">
        <v>303</v>
      </c>
      <c r="B39" s="169" t="s">
        <v>269</v>
      </c>
      <c r="C39" s="169" t="s">
        <v>300</v>
      </c>
      <c r="D39" s="170">
        <v>4.0999999999999996</v>
      </c>
      <c r="E39" s="476">
        <f t="shared" si="3"/>
        <v>4.0999999999999996</v>
      </c>
      <c r="F39" s="477">
        <f t="shared" si="4"/>
        <v>0</v>
      </c>
      <c r="G39" s="475">
        <f t="shared" si="2"/>
        <v>0</v>
      </c>
    </row>
    <row r="40" spans="1:7" x14ac:dyDescent="0.25">
      <c r="A40" s="168" t="s">
        <v>304</v>
      </c>
      <c r="B40" s="169" t="s">
        <v>271</v>
      </c>
      <c r="C40" s="169" t="s">
        <v>300</v>
      </c>
      <c r="D40" s="170">
        <v>15</v>
      </c>
      <c r="E40" s="476">
        <f t="shared" si="3"/>
        <v>15</v>
      </c>
      <c r="F40" s="477">
        <f t="shared" si="4"/>
        <v>0</v>
      </c>
      <c r="G40" s="475">
        <f t="shared" si="2"/>
        <v>0</v>
      </c>
    </row>
    <row r="41" spans="1:7" x14ac:dyDescent="0.25">
      <c r="A41" s="168" t="s">
        <v>305</v>
      </c>
      <c r="B41" s="169" t="s">
        <v>271</v>
      </c>
      <c r="C41" s="169" t="s">
        <v>300</v>
      </c>
      <c r="D41" s="170">
        <v>15</v>
      </c>
      <c r="E41" s="476">
        <f t="shared" si="3"/>
        <v>15</v>
      </c>
      <c r="F41" s="477">
        <f t="shared" si="4"/>
        <v>0</v>
      </c>
      <c r="G41" s="475">
        <f t="shared" si="2"/>
        <v>0</v>
      </c>
    </row>
    <row r="42" spans="1:7" x14ac:dyDescent="0.25">
      <c r="A42" s="168" t="s">
        <v>306</v>
      </c>
      <c r="B42" s="169" t="s">
        <v>271</v>
      </c>
      <c r="C42" s="169" t="s">
        <v>300</v>
      </c>
      <c r="D42" s="170">
        <v>15</v>
      </c>
      <c r="E42" s="476">
        <f t="shared" si="3"/>
        <v>15</v>
      </c>
      <c r="F42" s="477">
        <f t="shared" si="4"/>
        <v>0</v>
      </c>
      <c r="G42" s="475">
        <f t="shared" si="2"/>
        <v>0</v>
      </c>
    </row>
    <row r="43" spans="1:7" x14ac:dyDescent="0.25">
      <c r="A43" s="168" t="s">
        <v>307</v>
      </c>
      <c r="B43" s="169" t="s">
        <v>271</v>
      </c>
      <c r="C43" s="169" t="s">
        <v>300</v>
      </c>
      <c r="D43" s="170">
        <v>15</v>
      </c>
      <c r="E43" s="476">
        <f t="shared" si="3"/>
        <v>15</v>
      </c>
      <c r="F43" s="477">
        <f t="shared" si="4"/>
        <v>0</v>
      </c>
      <c r="G43" s="475">
        <f t="shared" si="2"/>
        <v>0</v>
      </c>
    </row>
    <row r="44" spans="1:7" x14ac:dyDescent="0.25">
      <c r="A44" s="168" t="s">
        <v>308</v>
      </c>
      <c r="B44" s="169" t="s">
        <v>271</v>
      </c>
      <c r="C44" s="169" t="s">
        <v>300</v>
      </c>
      <c r="D44" s="170">
        <v>15</v>
      </c>
      <c r="E44" s="476">
        <f t="shared" si="3"/>
        <v>15</v>
      </c>
      <c r="F44" s="477">
        <f t="shared" si="4"/>
        <v>0</v>
      </c>
      <c r="G44" s="475">
        <f t="shared" si="2"/>
        <v>0</v>
      </c>
    </row>
    <row r="45" spans="1:7" x14ac:dyDescent="0.25">
      <c r="A45" s="168" t="s">
        <v>309</v>
      </c>
      <c r="B45" s="169" t="s">
        <v>265</v>
      </c>
      <c r="C45" s="169" t="s">
        <v>300</v>
      </c>
      <c r="D45" s="170">
        <v>9.1199999999999992</v>
      </c>
      <c r="E45" s="476">
        <f t="shared" si="3"/>
        <v>9.1199999999999992</v>
      </c>
      <c r="F45" s="477">
        <f t="shared" si="4"/>
        <v>0</v>
      </c>
      <c r="G45" s="475">
        <f t="shared" si="2"/>
        <v>0</v>
      </c>
    </row>
    <row r="46" spans="1:7" x14ac:dyDescent="0.25">
      <c r="A46" s="168" t="s">
        <v>310</v>
      </c>
      <c r="B46" s="169" t="s">
        <v>265</v>
      </c>
      <c r="C46" s="169" t="s">
        <v>300</v>
      </c>
      <c r="D46" s="170">
        <v>14</v>
      </c>
      <c r="E46" s="476">
        <f t="shared" si="3"/>
        <v>14</v>
      </c>
      <c r="F46" s="477">
        <f t="shared" si="4"/>
        <v>0</v>
      </c>
      <c r="G46" s="475">
        <f t="shared" si="2"/>
        <v>0</v>
      </c>
    </row>
    <row r="47" spans="1:7" x14ac:dyDescent="0.25">
      <c r="A47" s="168" t="s">
        <v>311</v>
      </c>
      <c r="B47" s="169" t="s">
        <v>281</v>
      </c>
      <c r="C47" s="169" t="s">
        <v>300</v>
      </c>
      <c r="D47" s="170">
        <v>1.8</v>
      </c>
      <c r="E47" s="476">
        <f t="shared" si="3"/>
        <v>1.8</v>
      </c>
      <c r="F47" s="477">
        <f t="shared" si="4"/>
        <v>0</v>
      </c>
      <c r="G47" s="475">
        <f t="shared" si="2"/>
        <v>0</v>
      </c>
    </row>
    <row r="48" spans="1:7" x14ac:dyDescent="0.25">
      <c r="A48" s="168" t="s">
        <v>312</v>
      </c>
      <c r="B48" s="169" t="s">
        <v>279</v>
      </c>
      <c r="C48" s="169" t="s">
        <v>300</v>
      </c>
      <c r="D48" s="170">
        <v>4.13</v>
      </c>
      <c r="E48" s="476">
        <f t="shared" si="3"/>
        <v>4.13</v>
      </c>
      <c r="F48" s="477">
        <f t="shared" si="4"/>
        <v>0</v>
      </c>
      <c r="G48" s="475">
        <f t="shared" si="2"/>
        <v>0</v>
      </c>
    </row>
    <row r="49" spans="1:7" x14ac:dyDescent="0.25">
      <c r="A49" s="168" t="s">
        <v>313</v>
      </c>
      <c r="B49" s="169" t="s">
        <v>314</v>
      </c>
      <c r="C49" s="169" t="s">
        <v>300</v>
      </c>
      <c r="D49" s="170">
        <v>19</v>
      </c>
      <c r="E49" s="476">
        <f t="shared" si="3"/>
        <v>19</v>
      </c>
      <c r="F49" s="477">
        <f t="shared" si="4"/>
        <v>0</v>
      </c>
      <c r="G49" s="475">
        <f t="shared" si="2"/>
        <v>0</v>
      </c>
    </row>
    <row r="50" spans="1:7" x14ac:dyDescent="0.25">
      <c r="A50" s="168" t="s">
        <v>315</v>
      </c>
      <c r="B50" s="169" t="s">
        <v>265</v>
      </c>
      <c r="C50" s="169" t="s">
        <v>300</v>
      </c>
      <c r="D50" s="170">
        <v>5.56</v>
      </c>
      <c r="E50" s="476">
        <f t="shared" si="3"/>
        <v>5.56</v>
      </c>
      <c r="F50" s="477">
        <f t="shared" si="4"/>
        <v>0</v>
      </c>
      <c r="G50" s="475">
        <f t="shared" si="2"/>
        <v>0</v>
      </c>
    </row>
    <row r="51" spans="1:7" x14ac:dyDescent="0.25">
      <c r="A51" s="168" t="s">
        <v>316</v>
      </c>
      <c r="B51" s="169" t="s">
        <v>267</v>
      </c>
      <c r="C51" s="169" t="s">
        <v>300</v>
      </c>
      <c r="D51" s="170">
        <v>28</v>
      </c>
      <c r="E51" s="476">
        <f t="shared" si="3"/>
        <v>28</v>
      </c>
      <c r="F51" s="477">
        <f t="shared" si="4"/>
        <v>0</v>
      </c>
      <c r="G51" s="475">
        <f>+D51*$G$7</f>
        <v>0</v>
      </c>
    </row>
    <row r="52" spans="1:7" x14ac:dyDescent="0.25">
      <c r="A52" s="168" t="s">
        <v>317</v>
      </c>
      <c r="B52" s="169" t="s">
        <v>269</v>
      </c>
      <c r="C52" s="169" t="s">
        <v>300</v>
      </c>
      <c r="D52" s="170">
        <v>4.0999999999999996</v>
      </c>
      <c r="E52" s="476">
        <f t="shared" si="3"/>
        <v>4.0999999999999996</v>
      </c>
      <c r="F52" s="477">
        <f t="shared" si="4"/>
        <v>0</v>
      </c>
      <c r="G52" s="475">
        <f t="shared" si="2"/>
        <v>0</v>
      </c>
    </row>
    <row r="53" spans="1:7" x14ac:dyDescent="0.25">
      <c r="A53" s="168" t="s">
        <v>318</v>
      </c>
      <c r="B53" s="169" t="s">
        <v>271</v>
      </c>
      <c r="C53" s="169" t="s">
        <v>300</v>
      </c>
      <c r="D53" s="170">
        <v>15</v>
      </c>
      <c r="E53" s="476">
        <f t="shared" si="3"/>
        <v>15</v>
      </c>
      <c r="F53" s="477">
        <f t="shared" si="4"/>
        <v>0</v>
      </c>
      <c r="G53" s="475">
        <f t="shared" si="2"/>
        <v>0</v>
      </c>
    </row>
    <row r="54" spans="1:7" x14ac:dyDescent="0.25">
      <c r="A54" s="168" t="s">
        <v>319</v>
      </c>
      <c r="B54" s="169" t="s">
        <v>271</v>
      </c>
      <c r="C54" s="169" t="s">
        <v>300</v>
      </c>
      <c r="D54" s="170">
        <v>15</v>
      </c>
      <c r="E54" s="476">
        <f t="shared" si="3"/>
        <v>15</v>
      </c>
      <c r="F54" s="477">
        <f t="shared" si="4"/>
        <v>0</v>
      </c>
      <c r="G54" s="475">
        <f t="shared" si="2"/>
        <v>0</v>
      </c>
    </row>
    <row r="55" spans="1:7" x14ac:dyDescent="0.25">
      <c r="A55" s="168" t="s">
        <v>320</v>
      </c>
      <c r="B55" s="169" t="s">
        <v>271</v>
      </c>
      <c r="C55" s="169" t="s">
        <v>300</v>
      </c>
      <c r="D55" s="170">
        <v>15</v>
      </c>
      <c r="E55" s="476">
        <f t="shared" si="3"/>
        <v>15</v>
      </c>
      <c r="F55" s="477">
        <f t="shared" si="4"/>
        <v>0</v>
      </c>
      <c r="G55" s="475">
        <f t="shared" si="2"/>
        <v>0</v>
      </c>
    </row>
    <row r="56" spans="1:7" x14ac:dyDescent="0.25">
      <c r="A56" s="168" t="s">
        <v>321</v>
      </c>
      <c r="B56" s="169" t="s">
        <v>271</v>
      </c>
      <c r="C56" s="169" t="s">
        <v>300</v>
      </c>
      <c r="D56" s="170">
        <v>15</v>
      </c>
      <c r="E56" s="476">
        <f t="shared" si="3"/>
        <v>15</v>
      </c>
      <c r="F56" s="477">
        <f t="shared" si="4"/>
        <v>0</v>
      </c>
      <c r="G56" s="475">
        <f t="shared" si="2"/>
        <v>0</v>
      </c>
    </row>
    <row r="57" spans="1:7" x14ac:dyDescent="0.25">
      <c r="A57" s="168" t="s">
        <v>322</v>
      </c>
      <c r="B57" s="169" t="s">
        <v>271</v>
      </c>
      <c r="C57" s="169" t="s">
        <v>300</v>
      </c>
      <c r="D57" s="170">
        <v>15</v>
      </c>
      <c r="E57" s="476">
        <f t="shared" si="3"/>
        <v>15</v>
      </c>
      <c r="F57" s="477">
        <f t="shared" si="4"/>
        <v>0</v>
      </c>
      <c r="G57" s="475">
        <f t="shared" si="2"/>
        <v>0</v>
      </c>
    </row>
    <row r="58" spans="1:7" x14ac:dyDescent="0.25">
      <c r="A58" s="168" t="s">
        <v>323</v>
      </c>
      <c r="B58" s="169" t="s">
        <v>265</v>
      </c>
      <c r="C58" s="169" t="s">
        <v>300</v>
      </c>
      <c r="D58" s="170">
        <v>9</v>
      </c>
      <c r="E58" s="476">
        <f t="shared" si="3"/>
        <v>9</v>
      </c>
      <c r="F58" s="477">
        <f t="shared" si="4"/>
        <v>0</v>
      </c>
      <c r="G58" s="475">
        <f t="shared" si="2"/>
        <v>0</v>
      </c>
    </row>
    <row r="59" spans="1:7" x14ac:dyDescent="0.25">
      <c r="A59" s="168" t="s">
        <v>324</v>
      </c>
      <c r="B59" s="169" t="s">
        <v>265</v>
      </c>
      <c r="C59" s="169" t="s">
        <v>300</v>
      </c>
      <c r="D59" s="170">
        <v>14</v>
      </c>
      <c r="E59" s="476">
        <f t="shared" si="3"/>
        <v>14</v>
      </c>
      <c r="F59" s="477">
        <f t="shared" si="4"/>
        <v>0</v>
      </c>
      <c r="G59" s="475">
        <f t="shared" si="2"/>
        <v>0</v>
      </c>
    </row>
    <row r="60" spans="1:7" x14ac:dyDescent="0.25">
      <c r="A60" s="168" t="s">
        <v>325</v>
      </c>
      <c r="B60" s="169" t="s">
        <v>279</v>
      </c>
      <c r="C60" s="169" t="s">
        <v>300</v>
      </c>
      <c r="D60" s="170">
        <v>4.13</v>
      </c>
      <c r="E60" s="476">
        <f t="shared" ref="E60:E61" si="5">+D60*$E$7</f>
        <v>4.13</v>
      </c>
      <c r="F60" s="477">
        <f t="shared" ref="F60:F61" si="6">+D60*$F$7</f>
        <v>0</v>
      </c>
      <c r="G60" s="475">
        <f t="shared" ref="G60:G61" si="7">+D60*$G$7</f>
        <v>0</v>
      </c>
    </row>
    <row r="61" spans="1:7" x14ac:dyDescent="0.25">
      <c r="A61" s="168" t="s">
        <v>326</v>
      </c>
      <c r="B61" s="169" t="s">
        <v>281</v>
      </c>
      <c r="C61" s="169" t="s">
        <v>300</v>
      </c>
      <c r="D61" s="170">
        <v>1.8</v>
      </c>
      <c r="E61" s="476">
        <f t="shared" si="5"/>
        <v>1.8</v>
      </c>
      <c r="F61" s="477">
        <f t="shared" si="6"/>
        <v>0</v>
      </c>
      <c r="G61" s="475">
        <f t="shared" si="7"/>
        <v>0</v>
      </c>
    </row>
    <row r="62" spans="1:7" x14ac:dyDescent="0.25">
      <c r="A62" s="168" t="s">
        <v>327</v>
      </c>
      <c r="B62" s="169" t="s">
        <v>328</v>
      </c>
      <c r="C62" s="169" t="s">
        <v>300</v>
      </c>
      <c r="D62" s="170">
        <v>1.1599999999999999</v>
      </c>
      <c r="E62" s="476">
        <f t="shared" si="3"/>
        <v>1.1599999999999999</v>
      </c>
      <c r="F62" s="477">
        <f t="shared" si="4"/>
        <v>0</v>
      </c>
      <c r="G62" s="475">
        <f t="shared" si="2"/>
        <v>0</v>
      </c>
    </row>
    <row r="63" spans="1:7" x14ac:dyDescent="0.25">
      <c r="A63" s="168" t="s">
        <v>329</v>
      </c>
      <c r="B63" s="169" t="s">
        <v>328</v>
      </c>
      <c r="C63" s="169" t="s">
        <v>300</v>
      </c>
      <c r="D63" s="170">
        <v>1.1599999999999999</v>
      </c>
      <c r="E63" s="476">
        <f t="shared" si="3"/>
        <v>1.1599999999999999</v>
      </c>
      <c r="F63" s="477">
        <f t="shared" si="4"/>
        <v>0</v>
      </c>
      <c r="G63" s="475">
        <f t="shared" si="2"/>
        <v>0</v>
      </c>
    </row>
    <row r="64" spans="1:7" x14ac:dyDescent="0.25">
      <c r="A64" s="168" t="s">
        <v>330</v>
      </c>
      <c r="B64" s="169" t="s">
        <v>328</v>
      </c>
      <c r="C64" s="169" t="s">
        <v>300</v>
      </c>
      <c r="D64" s="170">
        <v>4.95</v>
      </c>
      <c r="E64" s="476">
        <f t="shared" si="3"/>
        <v>4.95</v>
      </c>
      <c r="F64" s="477">
        <f t="shared" si="4"/>
        <v>0</v>
      </c>
      <c r="G64" s="475">
        <f t="shared" si="2"/>
        <v>0</v>
      </c>
    </row>
    <row r="65" spans="1:10" ht="16.5" thickBot="1" x14ac:dyDescent="0.3">
      <c r="A65" s="171"/>
      <c r="B65" s="172"/>
      <c r="C65" s="172"/>
      <c r="D65" s="170"/>
      <c r="E65" s="478">
        <f t="shared" si="3"/>
        <v>0</v>
      </c>
      <c r="F65" s="479">
        <f t="shared" si="4"/>
        <v>0</v>
      </c>
      <c r="G65" s="475">
        <f t="shared" si="2"/>
        <v>0</v>
      </c>
    </row>
    <row r="66" spans="1:10" ht="16.5" thickBot="1" x14ac:dyDescent="0.3">
      <c r="A66" s="173" t="s">
        <v>114</v>
      </c>
      <c r="B66" s="174"/>
      <c r="C66" s="174"/>
      <c r="D66" s="264">
        <f>+SUM(D9:D65)</f>
        <v>668.01</v>
      </c>
      <c r="E66" s="264">
        <f>+SUM(E9:E65)</f>
        <v>668.01</v>
      </c>
      <c r="F66" s="265">
        <f>+SUM(F9:F65)</f>
        <v>0</v>
      </c>
      <c r="G66" s="265">
        <f>+SUM(G9:G65)</f>
        <v>0</v>
      </c>
      <c r="I66" s="141" t="s">
        <v>500</v>
      </c>
      <c r="J66" s="266">
        <f>D66-G66-F66-E66</f>
        <v>0</v>
      </c>
    </row>
    <row r="67" spans="1:10" ht="16.5" thickBot="1" x14ac:dyDescent="0.3">
      <c r="A67" s="176"/>
      <c r="B67" s="177"/>
      <c r="C67" s="177"/>
      <c r="D67" s="177"/>
      <c r="E67" s="178"/>
      <c r="F67" s="177"/>
      <c r="G67" s="179"/>
    </row>
    <row r="68" spans="1:10" ht="16.5" thickBot="1" x14ac:dyDescent="0.3">
      <c r="A68" s="173" t="s">
        <v>112</v>
      </c>
      <c r="B68" s="180"/>
      <c r="C68" s="180"/>
      <c r="D68" s="162"/>
      <c r="E68" s="267">
        <v>0</v>
      </c>
      <c r="F68" s="268">
        <v>1</v>
      </c>
      <c r="G68" s="267">
        <v>0</v>
      </c>
    </row>
    <row r="69" spans="1:10" ht="30.75" thickBot="1" x14ac:dyDescent="0.3">
      <c r="A69" s="181" t="s">
        <v>0</v>
      </c>
      <c r="B69" s="181" t="s">
        <v>1</v>
      </c>
      <c r="C69" s="182" t="s">
        <v>115</v>
      </c>
      <c r="D69" s="183" t="s">
        <v>117</v>
      </c>
      <c r="E69" s="184" t="s">
        <v>116</v>
      </c>
      <c r="F69" s="185" t="s">
        <v>21</v>
      </c>
      <c r="G69" s="167" t="s">
        <v>124</v>
      </c>
    </row>
    <row r="70" spans="1:10" x14ac:dyDescent="0.25">
      <c r="A70" s="169" t="s">
        <v>331</v>
      </c>
      <c r="B70" s="169" t="s">
        <v>332</v>
      </c>
      <c r="C70" s="169" t="s">
        <v>333</v>
      </c>
      <c r="D70" s="170">
        <v>4.05</v>
      </c>
      <c r="E70" s="480">
        <f>+D70*$E$68</f>
        <v>0</v>
      </c>
      <c r="F70" s="481">
        <f>+D70*$F$68</f>
        <v>4.05</v>
      </c>
      <c r="G70" s="475">
        <f>+D70*$G$68</f>
        <v>0</v>
      </c>
    </row>
    <row r="71" spans="1:10" x14ac:dyDescent="0.25">
      <c r="A71" s="169" t="s">
        <v>334</v>
      </c>
      <c r="B71" s="169" t="s">
        <v>335</v>
      </c>
      <c r="C71" s="169" t="s">
        <v>333</v>
      </c>
      <c r="D71" s="170">
        <v>15.56</v>
      </c>
      <c r="E71" s="480">
        <f t="shared" ref="E71:E90" si="8">+D71*$E$68</f>
        <v>0</v>
      </c>
      <c r="F71" s="481">
        <f t="shared" ref="F71:F90" si="9">+D71*$F$68</f>
        <v>15.56</v>
      </c>
      <c r="G71" s="475">
        <f t="shared" ref="G71:G90" si="10">+D71*$G$68</f>
        <v>0</v>
      </c>
    </row>
    <row r="72" spans="1:10" x14ac:dyDescent="0.25">
      <c r="A72" s="169" t="s">
        <v>336</v>
      </c>
      <c r="B72" s="169" t="s">
        <v>337</v>
      </c>
      <c r="C72" s="169" t="s">
        <v>333</v>
      </c>
      <c r="D72" s="170">
        <v>11.97</v>
      </c>
      <c r="E72" s="480">
        <f t="shared" si="8"/>
        <v>0</v>
      </c>
      <c r="F72" s="481">
        <f t="shared" si="9"/>
        <v>11.97</v>
      </c>
      <c r="G72" s="475">
        <f t="shared" si="10"/>
        <v>0</v>
      </c>
    </row>
    <row r="73" spans="1:10" x14ac:dyDescent="0.25">
      <c r="A73" s="169" t="s">
        <v>338</v>
      </c>
      <c r="B73" s="169" t="s">
        <v>339</v>
      </c>
      <c r="C73" s="169" t="s">
        <v>333</v>
      </c>
      <c r="D73" s="170">
        <v>2.56</v>
      </c>
      <c r="E73" s="480">
        <f t="shared" si="8"/>
        <v>0</v>
      </c>
      <c r="F73" s="481">
        <f t="shared" si="9"/>
        <v>2.56</v>
      </c>
      <c r="G73" s="475">
        <f t="shared" si="10"/>
        <v>0</v>
      </c>
    </row>
    <row r="74" spans="1:10" x14ac:dyDescent="0.25">
      <c r="A74" s="169" t="s">
        <v>340</v>
      </c>
      <c r="B74" s="169" t="s">
        <v>341</v>
      </c>
      <c r="C74" s="169" t="s">
        <v>333</v>
      </c>
      <c r="D74" s="170">
        <v>5.94</v>
      </c>
      <c r="E74" s="480">
        <f t="shared" si="8"/>
        <v>0</v>
      </c>
      <c r="F74" s="481">
        <f t="shared" si="9"/>
        <v>5.94</v>
      </c>
      <c r="G74" s="475">
        <f t="shared" si="10"/>
        <v>0</v>
      </c>
    </row>
    <row r="75" spans="1:10" x14ac:dyDescent="0.25">
      <c r="A75" s="169" t="s">
        <v>342</v>
      </c>
      <c r="B75" s="169" t="s">
        <v>343</v>
      </c>
      <c r="C75" s="169" t="s">
        <v>333</v>
      </c>
      <c r="D75" s="170">
        <v>9.36</v>
      </c>
      <c r="E75" s="480">
        <f t="shared" si="8"/>
        <v>0</v>
      </c>
      <c r="F75" s="481">
        <f t="shared" si="9"/>
        <v>9.36</v>
      </c>
      <c r="G75" s="475">
        <f t="shared" si="10"/>
        <v>0</v>
      </c>
    </row>
    <row r="76" spans="1:10" x14ac:dyDescent="0.25">
      <c r="A76" s="169" t="s">
        <v>344</v>
      </c>
      <c r="B76" s="169" t="s">
        <v>345</v>
      </c>
      <c r="C76" s="169" t="s">
        <v>263</v>
      </c>
      <c r="D76" s="170">
        <v>16.66</v>
      </c>
      <c r="E76" s="480">
        <f t="shared" si="8"/>
        <v>0</v>
      </c>
      <c r="F76" s="481">
        <f t="shared" si="9"/>
        <v>16.66</v>
      </c>
      <c r="G76" s="475">
        <f t="shared" si="10"/>
        <v>0</v>
      </c>
    </row>
    <row r="77" spans="1:10" x14ac:dyDescent="0.25">
      <c r="A77" s="169" t="s">
        <v>346</v>
      </c>
      <c r="B77" s="169" t="s">
        <v>347</v>
      </c>
      <c r="C77" s="169" t="s">
        <v>263</v>
      </c>
      <c r="D77" s="170">
        <v>3.34</v>
      </c>
      <c r="E77" s="480">
        <f t="shared" si="8"/>
        <v>0</v>
      </c>
      <c r="F77" s="481">
        <f t="shared" si="9"/>
        <v>3.34</v>
      </c>
      <c r="G77" s="475">
        <f t="shared" si="10"/>
        <v>0</v>
      </c>
    </row>
    <row r="78" spans="1:10" x14ac:dyDescent="0.25">
      <c r="A78" s="169" t="s">
        <v>348</v>
      </c>
      <c r="B78" s="169" t="s">
        <v>349</v>
      </c>
      <c r="C78" s="169" t="s">
        <v>263</v>
      </c>
      <c r="D78" s="170">
        <v>3.04</v>
      </c>
      <c r="E78" s="480">
        <f t="shared" si="8"/>
        <v>0</v>
      </c>
      <c r="F78" s="481">
        <f t="shared" si="9"/>
        <v>3.04</v>
      </c>
      <c r="G78" s="475">
        <f t="shared" si="10"/>
        <v>0</v>
      </c>
    </row>
    <row r="79" spans="1:10" x14ac:dyDescent="0.25">
      <c r="A79" s="169" t="s">
        <v>350</v>
      </c>
      <c r="B79" s="169" t="s">
        <v>351</v>
      </c>
      <c r="C79" s="169" t="s">
        <v>263</v>
      </c>
      <c r="D79" s="170">
        <v>3.25</v>
      </c>
      <c r="E79" s="480">
        <f t="shared" si="8"/>
        <v>0</v>
      </c>
      <c r="F79" s="481">
        <f t="shared" si="9"/>
        <v>3.25</v>
      </c>
      <c r="G79" s="475">
        <f t="shared" si="10"/>
        <v>0</v>
      </c>
    </row>
    <row r="80" spans="1:10" x14ac:dyDescent="0.25">
      <c r="A80" s="169" t="s">
        <v>352</v>
      </c>
      <c r="B80" s="169" t="s">
        <v>353</v>
      </c>
      <c r="C80" s="169" t="s">
        <v>263</v>
      </c>
      <c r="D80" s="170">
        <v>5.83</v>
      </c>
      <c r="E80" s="480">
        <f t="shared" si="8"/>
        <v>0</v>
      </c>
      <c r="F80" s="481">
        <f t="shared" si="9"/>
        <v>5.83</v>
      </c>
      <c r="G80" s="475">
        <f t="shared" si="10"/>
        <v>0</v>
      </c>
    </row>
    <row r="81" spans="1:10" x14ac:dyDescent="0.25">
      <c r="A81" s="169" t="s">
        <v>354</v>
      </c>
      <c r="B81" s="169" t="s">
        <v>355</v>
      </c>
      <c r="C81" s="169" t="s">
        <v>263</v>
      </c>
      <c r="D81" s="170">
        <v>20.77</v>
      </c>
      <c r="E81" s="480">
        <f t="shared" si="8"/>
        <v>0</v>
      </c>
      <c r="F81" s="481">
        <f t="shared" si="9"/>
        <v>20.77</v>
      </c>
      <c r="G81" s="475">
        <f t="shared" si="10"/>
        <v>0</v>
      </c>
    </row>
    <row r="82" spans="1:10" x14ac:dyDescent="0.25">
      <c r="A82" s="169" t="s">
        <v>356</v>
      </c>
      <c r="B82" s="169" t="s">
        <v>357</v>
      </c>
      <c r="C82" s="169" t="s">
        <v>358</v>
      </c>
      <c r="D82" s="170">
        <v>13.36</v>
      </c>
      <c r="E82" s="480">
        <f t="shared" si="8"/>
        <v>0</v>
      </c>
      <c r="F82" s="481">
        <f t="shared" si="9"/>
        <v>13.36</v>
      </c>
      <c r="G82" s="475">
        <f t="shared" si="10"/>
        <v>0</v>
      </c>
    </row>
    <row r="83" spans="1:10" x14ac:dyDescent="0.25">
      <c r="A83" s="169" t="s">
        <v>359</v>
      </c>
      <c r="B83" s="169" t="s">
        <v>360</v>
      </c>
      <c r="C83" s="169" t="s">
        <v>358</v>
      </c>
      <c r="D83" s="170">
        <v>4.07</v>
      </c>
      <c r="E83" s="480">
        <f t="shared" si="8"/>
        <v>0</v>
      </c>
      <c r="F83" s="481">
        <f t="shared" si="9"/>
        <v>4.07</v>
      </c>
      <c r="G83" s="475">
        <f t="shared" si="10"/>
        <v>0</v>
      </c>
    </row>
    <row r="84" spans="1:10" x14ac:dyDescent="0.25">
      <c r="A84" s="169" t="s">
        <v>361</v>
      </c>
      <c r="B84" s="169" t="s">
        <v>347</v>
      </c>
      <c r="C84" s="169" t="s">
        <v>358</v>
      </c>
      <c r="D84" s="170">
        <v>2.41</v>
      </c>
      <c r="E84" s="480">
        <f t="shared" si="8"/>
        <v>0</v>
      </c>
      <c r="F84" s="481">
        <f t="shared" si="9"/>
        <v>2.41</v>
      </c>
      <c r="G84" s="475">
        <f t="shared" si="10"/>
        <v>0</v>
      </c>
    </row>
    <row r="85" spans="1:10" x14ac:dyDescent="0.25">
      <c r="A85" s="169" t="s">
        <v>362</v>
      </c>
      <c r="B85" s="169" t="s">
        <v>349</v>
      </c>
      <c r="C85" s="169" t="s">
        <v>358</v>
      </c>
      <c r="D85" s="170">
        <v>3.04</v>
      </c>
      <c r="E85" s="480">
        <f t="shared" si="8"/>
        <v>0</v>
      </c>
      <c r="F85" s="481">
        <f t="shared" si="9"/>
        <v>3.04</v>
      </c>
      <c r="G85" s="475">
        <f t="shared" si="10"/>
        <v>0</v>
      </c>
    </row>
    <row r="86" spans="1:10" x14ac:dyDescent="0.25">
      <c r="A86" s="169" t="s">
        <v>363</v>
      </c>
      <c r="B86" s="169" t="s">
        <v>351</v>
      </c>
      <c r="C86" s="169" t="s">
        <v>358</v>
      </c>
      <c r="D86" s="170">
        <v>3.25</v>
      </c>
      <c r="E86" s="480">
        <f t="shared" si="8"/>
        <v>0</v>
      </c>
      <c r="F86" s="481">
        <f t="shared" si="9"/>
        <v>3.25</v>
      </c>
      <c r="G86" s="475">
        <f t="shared" si="10"/>
        <v>0</v>
      </c>
    </row>
    <row r="87" spans="1:10" x14ac:dyDescent="0.25">
      <c r="A87" s="169" t="s">
        <v>364</v>
      </c>
      <c r="B87" s="169" t="s">
        <v>365</v>
      </c>
      <c r="C87" s="169" t="s">
        <v>358</v>
      </c>
      <c r="D87" s="170">
        <v>5.83</v>
      </c>
      <c r="E87" s="480">
        <f t="shared" si="8"/>
        <v>0</v>
      </c>
      <c r="F87" s="481">
        <f t="shared" si="9"/>
        <v>5.83</v>
      </c>
      <c r="G87" s="475">
        <f t="shared" si="10"/>
        <v>0</v>
      </c>
    </row>
    <row r="88" spans="1:10" x14ac:dyDescent="0.25">
      <c r="A88" s="169" t="s">
        <v>366</v>
      </c>
      <c r="B88" s="169" t="s">
        <v>367</v>
      </c>
      <c r="C88" s="169" t="s">
        <v>358</v>
      </c>
      <c r="D88" s="170">
        <v>20.77</v>
      </c>
      <c r="E88" s="480">
        <f t="shared" si="8"/>
        <v>0</v>
      </c>
      <c r="F88" s="481">
        <f t="shared" si="9"/>
        <v>20.77</v>
      </c>
      <c r="G88" s="475">
        <f t="shared" si="10"/>
        <v>0</v>
      </c>
    </row>
    <row r="89" spans="1:10" ht="15.75" x14ac:dyDescent="0.25">
      <c r="A89" s="186"/>
      <c r="B89" s="187"/>
      <c r="C89" s="187"/>
      <c r="D89" s="170"/>
      <c r="E89" s="480">
        <f t="shared" si="8"/>
        <v>0</v>
      </c>
      <c r="F89" s="481">
        <f t="shared" si="9"/>
        <v>0</v>
      </c>
      <c r="G89" s="475">
        <f t="shared" si="10"/>
        <v>0</v>
      </c>
    </row>
    <row r="90" spans="1:10" ht="16.5" thickBot="1" x14ac:dyDescent="0.3">
      <c r="A90" s="186"/>
      <c r="B90" s="187"/>
      <c r="C90" s="187"/>
      <c r="D90" s="170"/>
      <c r="E90" s="480">
        <f t="shared" si="8"/>
        <v>0</v>
      </c>
      <c r="F90" s="481">
        <f t="shared" si="9"/>
        <v>0</v>
      </c>
      <c r="G90" s="475">
        <f t="shared" si="10"/>
        <v>0</v>
      </c>
    </row>
    <row r="91" spans="1:10" ht="16.5" thickBot="1" x14ac:dyDescent="0.3">
      <c r="A91" s="173" t="s">
        <v>118</v>
      </c>
      <c r="B91" s="174"/>
      <c r="C91" s="174"/>
      <c r="D91" s="264">
        <f>+SUM(D70:D90)</f>
        <v>155.06</v>
      </c>
      <c r="E91" s="265">
        <f>+SUM(E70:E90)</f>
        <v>0</v>
      </c>
      <c r="F91" s="264">
        <f>+SUM(F70:F90)</f>
        <v>155.06</v>
      </c>
      <c r="G91" s="265">
        <f>+SUM(G70:G90)</f>
        <v>0</v>
      </c>
      <c r="I91" s="141" t="s">
        <v>500</v>
      </c>
      <c r="J91" s="266">
        <f>D91-G91-F91-E91</f>
        <v>0</v>
      </c>
    </row>
    <row r="92" spans="1:10" ht="16.5" thickBot="1" x14ac:dyDescent="0.3">
      <c r="A92" s="176"/>
      <c r="B92" s="177"/>
      <c r="C92" s="177"/>
      <c r="D92" s="177"/>
      <c r="E92" s="178"/>
      <c r="F92" s="177"/>
      <c r="G92" s="179"/>
    </row>
    <row r="93" spans="1:10" ht="16.5" thickBot="1" x14ac:dyDescent="0.3">
      <c r="A93" s="173" t="s">
        <v>113</v>
      </c>
      <c r="B93" s="180"/>
      <c r="C93" s="180"/>
      <c r="D93" s="180"/>
      <c r="E93" s="267">
        <v>0</v>
      </c>
      <c r="F93" s="267">
        <v>0</v>
      </c>
      <c r="G93" s="268">
        <v>1</v>
      </c>
    </row>
    <row r="94" spans="1:10" ht="30.75" thickBot="1" x14ac:dyDescent="0.3">
      <c r="A94" s="181" t="s">
        <v>0</v>
      </c>
      <c r="B94" s="181" t="s">
        <v>1</v>
      </c>
      <c r="C94" s="182" t="s">
        <v>115</v>
      </c>
      <c r="D94" s="183" t="s">
        <v>117</v>
      </c>
      <c r="E94" s="184" t="s">
        <v>116</v>
      </c>
      <c r="F94" s="184" t="s">
        <v>21</v>
      </c>
      <c r="G94" s="185" t="s">
        <v>124</v>
      </c>
    </row>
    <row r="95" spans="1:10" x14ac:dyDescent="0.25">
      <c r="A95" s="169" t="s">
        <v>368</v>
      </c>
      <c r="B95" s="187" t="s">
        <v>369</v>
      </c>
      <c r="C95" s="187"/>
      <c r="D95" s="170">
        <v>67.569999999999993</v>
      </c>
      <c r="E95" s="480">
        <f>+D95*$E$93</f>
        <v>0</v>
      </c>
      <c r="F95" s="475">
        <f>+D95*$F$93</f>
        <v>0</v>
      </c>
      <c r="G95" s="481">
        <f>+D95*$G$93</f>
        <v>67.569999999999993</v>
      </c>
    </row>
    <row r="96" spans="1:10" x14ac:dyDescent="0.25">
      <c r="A96" s="169" t="s">
        <v>370</v>
      </c>
      <c r="B96" s="187" t="s">
        <v>371</v>
      </c>
      <c r="C96" s="187"/>
      <c r="D96" s="170">
        <v>58.32</v>
      </c>
      <c r="E96" s="480">
        <f t="shared" ref="E96:E106" si="11">+D96*$E$93</f>
        <v>0</v>
      </c>
      <c r="F96" s="475">
        <f t="shared" ref="F96:F106" si="12">+D96*$F$93</f>
        <v>0</v>
      </c>
      <c r="G96" s="481">
        <f t="shared" ref="G96:G106" si="13">+D96*$G$93</f>
        <v>58.32</v>
      </c>
    </row>
    <row r="97" spans="1:11" x14ac:dyDescent="0.25">
      <c r="A97" s="169" t="s">
        <v>372</v>
      </c>
      <c r="B97" s="187" t="s">
        <v>373</v>
      </c>
      <c r="C97" s="187"/>
      <c r="D97" s="170">
        <v>66.849999999999994</v>
      </c>
      <c r="E97" s="480">
        <f t="shared" si="11"/>
        <v>0</v>
      </c>
      <c r="F97" s="475">
        <f t="shared" si="12"/>
        <v>0</v>
      </c>
      <c r="G97" s="481">
        <f t="shared" si="13"/>
        <v>66.849999999999994</v>
      </c>
    </row>
    <row r="98" spans="1:11" x14ac:dyDescent="0.25">
      <c r="A98" s="169" t="s">
        <v>374</v>
      </c>
      <c r="B98" s="187" t="s">
        <v>375</v>
      </c>
      <c r="C98" s="187"/>
      <c r="D98" s="170">
        <v>10</v>
      </c>
      <c r="E98" s="480">
        <f t="shared" si="11"/>
        <v>0</v>
      </c>
      <c r="F98" s="475">
        <f t="shared" si="12"/>
        <v>0</v>
      </c>
      <c r="G98" s="481">
        <f t="shared" si="13"/>
        <v>10</v>
      </c>
    </row>
    <row r="99" spans="1:11" x14ac:dyDescent="0.25">
      <c r="A99" s="169" t="s">
        <v>376</v>
      </c>
      <c r="B99" s="187" t="s">
        <v>377</v>
      </c>
      <c r="C99" s="187"/>
      <c r="D99" s="170">
        <v>10</v>
      </c>
      <c r="E99" s="482">
        <f t="shared" si="11"/>
        <v>0</v>
      </c>
      <c r="F99" s="278">
        <f t="shared" si="12"/>
        <v>0</v>
      </c>
      <c r="G99" s="278">
        <f t="shared" si="13"/>
        <v>10</v>
      </c>
      <c r="H99" s="188"/>
      <c r="I99" s="188"/>
      <c r="J99" s="188"/>
      <c r="K99" s="188"/>
    </row>
    <row r="100" spans="1:11" x14ac:dyDescent="0.25">
      <c r="A100" s="169" t="s">
        <v>378</v>
      </c>
      <c r="B100" s="187" t="s">
        <v>379</v>
      </c>
      <c r="C100" s="187"/>
      <c r="D100" s="170">
        <v>10</v>
      </c>
      <c r="E100" s="482">
        <f t="shared" si="11"/>
        <v>0</v>
      </c>
      <c r="F100" s="278">
        <f t="shared" si="12"/>
        <v>0</v>
      </c>
      <c r="G100" s="278">
        <f t="shared" si="13"/>
        <v>10</v>
      </c>
      <c r="H100" s="188"/>
      <c r="I100" s="188"/>
      <c r="J100" s="188"/>
      <c r="K100" s="188"/>
    </row>
    <row r="101" spans="1:11" x14ac:dyDescent="0.25">
      <c r="A101" s="189"/>
      <c r="B101" s="190"/>
      <c r="C101" s="190"/>
      <c r="D101" s="191"/>
      <c r="E101" s="482">
        <f t="shared" si="11"/>
        <v>0</v>
      </c>
      <c r="F101" s="278">
        <f t="shared" si="12"/>
        <v>0</v>
      </c>
      <c r="G101" s="278">
        <f t="shared" si="13"/>
        <v>0</v>
      </c>
      <c r="H101" s="188"/>
      <c r="I101" s="188"/>
      <c r="J101" s="188"/>
      <c r="K101" s="188"/>
    </row>
    <row r="102" spans="1:11" x14ac:dyDescent="0.25">
      <c r="A102" s="189"/>
      <c r="B102" s="190"/>
      <c r="C102" s="190"/>
      <c r="D102" s="191"/>
      <c r="E102" s="482">
        <f t="shared" si="11"/>
        <v>0</v>
      </c>
      <c r="F102" s="278">
        <f t="shared" si="12"/>
        <v>0</v>
      </c>
      <c r="G102" s="278">
        <f t="shared" si="13"/>
        <v>0</v>
      </c>
      <c r="H102" s="188"/>
      <c r="I102" s="188"/>
      <c r="J102" s="188"/>
      <c r="K102" s="188"/>
    </row>
    <row r="103" spans="1:11" x14ac:dyDescent="0.25">
      <c r="A103" s="189"/>
      <c r="B103" s="190"/>
      <c r="C103" s="190"/>
      <c r="D103" s="191"/>
      <c r="E103" s="482">
        <f t="shared" si="11"/>
        <v>0</v>
      </c>
      <c r="F103" s="278">
        <f t="shared" si="12"/>
        <v>0</v>
      </c>
      <c r="G103" s="278">
        <f t="shared" si="13"/>
        <v>0</v>
      </c>
      <c r="H103" s="188"/>
      <c r="I103" s="188"/>
      <c r="J103" s="188"/>
      <c r="K103" s="188"/>
    </row>
    <row r="104" spans="1:11" x14ac:dyDescent="0.25">
      <c r="A104" s="189"/>
      <c r="B104" s="190"/>
      <c r="C104" s="190"/>
      <c r="D104" s="191"/>
      <c r="E104" s="482">
        <f t="shared" si="11"/>
        <v>0</v>
      </c>
      <c r="F104" s="278">
        <f t="shared" si="12"/>
        <v>0</v>
      </c>
      <c r="G104" s="278">
        <f t="shared" si="13"/>
        <v>0</v>
      </c>
      <c r="H104" s="188"/>
      <c r="I104" s="188"/>
      <c r="J104" s="188"/>
      <c r="K104" s="188"/>
    </row>
    <row r="105" spans="1:11" x14ac:dyDescent="0.25">
      <c r="A105" s="190"/>
      <c r="B105" s="190"/>
      <c r="C105" s="190"/>
      <c r="D105" s="191"/>
      <c r="E105" s="482">
        <f t="shared" si="11"/>
        <v>0</v>
      </c>
      <c r="F105" s="278">
        <f t="shared" si="12"/>
        <v>0</v>
      </c>
      <c r="G105" s="278">
        <f t="shared" si="13"/>
        <v>0</v>
      </c>
      <c r="H105" s="188"/>
      <c r="I105" s="188"/>
      <c r="J105" s="188"/>
      <c r="K105" s="188"/>
    </row>
    <row r="106" spans="1:11" ht="15.75" thickBot="1" x14ac:dyDescent="0.3">
      <c r="A106" s="192"/>
      <c r="B106" s="193"/>
      <c r="C106" s="193"/>
      <c r="D106" s="194"/>
      <c r="E106" s="483">
        <f t="shared" si="11"/>
        <v>0</v>
      </c>
      <c r="F106" s="484">
        <f t="shared" si="12"/>
        <v>0</v>
      </c>
      <c r="G106" s="484">
        <f t="shared" si="13"/>
        <v>0</v>
      </c>
      <c r="H106" s="188"/>
      <c r="I106" s="188"/>
      <c r="J106" s="188"/>
      <c r="K106" s="188"/>
    </row>
    <row r="107" spans="1:11" ht="16.5" thickBot="1" x14ac:dyDescent="0.3">
      <c r="A107" s="195" t="s">
        <v>58</v>
      </c>
      <c r="B107" s="196"/>
      <c r="C107" s="196"/>
      <c r="D107" s="269">
        <f>+SUM(D95:D106)</f>
        <v>222.73999999999998</v>
      </c>
      <c r="E107" s="269">
        <f>+SUM(E95:E106)</f>
        <v>0</v>
      </c>
      <c r="F107" s="269">
        <f>+SUM(F95:F106)</f>
        <v>0</v>
      </c>
      <c r="G107" s="269">
        <f>+SUM(G95:G106)</f>
        <v>222.73999999999998</v>
      </c>
      <c r="H107" s="188"/>
      <c r="I107" s="141" t="s">
        <v>500</v>
      </c>
      <c r="J107" s="266">
        <f>D107-G107-F107-E107</f>
        <v>0</v>
      </c>
      <c r="K107" s="188"/>
    </row>
    <row r="108" spans="1:11" ht="16.5" thickBot="1" x14ac:dyDescent="0.3">
      <c r="A108" s="198"/>
      <c r="B108" s="199"/>
      <c r="C108" s="199"/>
      <c r="D108" s="199"/>
      <c r="E108" s="200"/>
      <c r="F108" s="199"/>
      <c r="G108" s="201"/>
      <c r="H108" s="188"/>
      <c r="I108" s="188"/>
      <c r="J108" s="188"/>
      <c r="K108" s="188"/>
    </row>
    <row r="109" spans="1:11" ht="46.5" customHeight="1" x14ac:dyDescent="0.25">
      <c r="A109" s="961" t="s">
        <v>241</v>
      </c>
      <c r="B109" s="962"/>
      <c r="C109" s="962"/>
      <c r="D109" s="963"/>
      <c r="E109" s="270">
        <f>+E154</f>
        <v>0.6387489123263308</v>
      </c>
      <c r="F109" s="270">
        <f>+E155</f>
        <v>0.14826784980063301</v>
      </c>
      <c r="G109" s="270">
        <f>+E156</f>
        <v>0.21298323787303619</v>
      </c>
      <c r="H109" s="188"/>
      <c r="I109" s="188"/>
      <c r="J109" s="188"/>
      <c r="K109" s="188"/>
    </row>
    <row r="110" spans="1:11" ht="30.75" customHeight="1" thickBot="1" x14ac:dyDescent="0.3">
      <c r="A110" s="964" t="s">
        <v>234</v>
      </c>
      <c r="B110" s="965"/>
      <c r="C110" s="965"/>
      <c r="D110" s="965"/>
      <c r="E110" s="965"/>
      <c r="F110" s="965"/>
      <c r="G110" s="966"/>
      <c r="H110" s="188"/>
      <c r="I110" s="188"/>
      <c r="J110" s="188"/>
      <c r="K110" s="188"/>
    </row>
    <row r="111" spans="1:11" ht="30.75" thickBot="1" x14ac:dyDescent="0.3">
      <c r="A111" s="202" t="s">
        <v>0</v>
      </c>
      <c r="B111" s="202" t="s">
        <v>1</v>
      </c>
      <c r="C111" s="203" t="s">
        <v>115</v>
      </c>
      <c r="D111" s="204" t="s">
        <v>117</v>
      </c>
      <c r="E111" s="185" t="s">
        <v>116</v>
      </c>
      <c r="F111" s="185" t="s">
        <v>21</v>
      </c>
      <c r="G111" s="185" t="s">
        <v>124</v>
      </c>
      <c r="H111" s="188"/>
      <c r="I111" s="188"/>
      <c r="J111" s="188"/>
      <c r="K111" s="188"/>
    </row>
    <row r="112" spans="1:11" x14ac:dyDescent="0.25">
      <c r="A112" s="205" t="s">
        <v>380</v>
      </c>
      <c r="B112" s="206" t="s">
        <v>381</v>
      </c>
      <c r="C112" s="206" t="s">
        <v>333</v>
      </c>
      <c r="D112" s="191">
        <v>4</v>
      </c>
      <c r="E112" s="482">
        <f>+D112*$E$109</f>
        <v>2.5549956493053232</v>
      </c>
      <c r="F112" s="278">
        <f>+D112*$F$109</f>
        <v>0.59307139920253205</v>
      </c>
      <c r="G112" s="278">
        <f>+D112*$G$109</f>
        <v>0.85193295149214476</v>
      </c>
      <c r="H112" s="188"/>
      <c r="I112" s="188"/>
      <c r="J112" s="188"/>
      <c r="K112" s="188"/>
    </row>
    <row r="113" spans="1:11" x14ac:dyDescent="0.25">
      <c r="A113" s="205" t="s">
        <v>382</v>
      </c>
      <c r="B113" s="206" t="s">
        <v>383</v>
      </c>
      <c r="C113" s="206" t="s">
        <v>333</v>
      </c>
      <c r="D113" s="191">
        <v>19</v>
      </c>
      <c r="E113" s="482">
        <f t="shared" ref="E113:E126" si="14">+D113*$E$109</f>
        <v>12.136229334200285</v>
      </c>
      <c r="F113" s="278">
        <f t="shared" ref="F113:F126" si="15">+D113*$F$109</f>
        <v>2.8170891462120271</v>
      </c>
      <c r="G113" s="278">
        <f t="shared" ref="G113:G126" si="16">+D113*$G$109</f>
        <v>4.046681519587688</v>
      </c>
      <c r="H113" s="188"/>
      <c r="I113" s="188"/>
      <c r="J113" s="188"/>
      <c r="K113" s="188"/>
    </row>
    <row r="114" spans="1:11" x14ac:dyDescent="0.25">
      <c r="A114" s="205" t="s">
        <v>384</v>
      </c>
      <c r="B114" s="206" t="s">
        <v>385</v>
      </c>
      <c r="C114" s="206" t="s">
        <v>333</v>
      </c>
      <c r="D114" s="191">
        <v>2.19</v>
      </c>
      <c r="E114" s="482">
        <f t="shared" si="14"/>
        <v>1.3988601179946645</v>
      </c>
      <c r="F114" s="278">
        <f t="shared" si="15"/>
        <v>0.32470659106338629</v>
      </c>
      <c r="G114" s="278">
        <f t="shared" si="16"/>
        <v>0.46643329094194924</v>
      </c>
      <c r="H114" s="188"/>
      <c r="I114" s="188"/>
      <c r="J114" s="188"/>
      <c r="K114" s="188"/>
    </row>
    <row r="115" spans="1:11" x14ac:dyDescent="0.25">
      <c r="A115" s="205" t="s">
        <v>386</v>
      </c>
      <c r="B115" s="206" t="s">
        <v>387</v>
      </c>
      <c r="C115" s="206" t="s">
        <v>333</v>
      </c>
      <c r="D115" s="191">
        <v>4.51</v>
      </c>
      <c r="E115" s="482">
        <f t="shared" si="14"/>
        <v>2.8807575945917518</v>
      </c>
      <c r="F115" s="278">
        <f t="shared" si="15"/>
        <v>0.66868800260085481</v>
      </c>
      <c r="G115" s="278">
        <f t="shared" si="16"/>
        <v>0.96055440280739313</v>
      </c>
      <c r="H115" s="188"/>
      <c r="I115" s="188"/>
      <c r="J115" s="188"/>
      <c r="K115" s="188"/>
    </row>
    <row r="116" spans="1:11" x14ac:dyDescent="0.25">
      <c r="A116" s="205" t="s">
        <v>388</v>
      </c>
      <c r="B116" s="206" t="s">
        <v>389</v>
      </c>
      <c r="C116" s="206" t="s">
        <v>333</v>
      </c>
      <c r="D116" s="191">
        <v>13.22</v>
      </c>
      <c r="E116" s="482">
        <f t="shared" si="14"/>
        <v>8.4442606209540934</v>
      </c>
      <c r="F116" s="278">
        <f t="shared" si="15"/>
        <v>1.9601009743643685</v>
      </c>
      <c r="G116" s="278">
        <f t="shared" si="16"/>
        <v>2.8156384046815384</v>
      </c>
      <c r="H116" s="188"/>
      <c r="I116" s="188"/>
      <c r="J116" s="188"/>
      <c r="K116" s="188"/>
    </row>
    <row r="117" spans="1:11" x14ac:dyDescent="0.25">
      <c r="A117" s="205" t="s">
        <v>390</v>
      </c>
      <c r="B117" s="206" t="s">
        <v>391</v>
      </c>
      <c r="C117" s="206" t="s">
        <v>333</v>
      </c>
      <c r="D117" s="191">
        <v>20</v>
      </c>
      <c r="E117" s="482">
        <f t="shared" si="14"/>
        <v>12.774978246526615</v>
      </c>
      <c r="F117" s="278">
        <f t="shared" si="15"/>
        <v>2.9653569960126602</v>
      </c>
      <c r="G117" s="278">
        <f t="shared" si="16"/>
        <v>4.2596647574607243</v>
      </c>
      <c r="H117" s="188"/>
      <c r="I117" s="188"/>
      <c r="J117" s="188"/>
      <c r="K117" s="188"/>
    </row>
    <row r="118" spans="1:11" x14ac:dyDescent="0.25">
      <c r="A118" s="205" t="s">
        <v>392</v>
      </c>
      <c r="B118" s="206" t="s">
        <v>297</v>
      </c>
      <c r="C118" s="206" t="s">
        <v>263</v>
      </c>
      <c r="D118" s="191">
        <v>10</v>
      </c>
      <c r="E118" s="482">
        <f t="shared" si="14"/>
        <v>6.3874891232633075</v>
      </c>
      <c r="F118" s="278">
        <f t="shared" si="15"/>
        <v>1.4826784980063301</v>
      </c>
      <c r="G118" s="278">
        <f t="shared" si="16"/>
        <v>2.1298323787303621</v>
      </c>
      <c r="H118" s="188"/>
      <c r="I118" s="188"/>
      <c r="J118" s="188"/>
      <c r="K118" s="188"/>
    </row>
    <row r="119" spans="1:11" x14ac:dyDescent="0.25">
      <c r="A119" s="205" t="s">
        <v>393</v>
      </c>
      <c r="B119" s="206" t="s">
        <v>297</v>
      </c>
      <c r="C119" s="206" t="s">
        <v>263</v>
      </c>
      <c r="D119" s="191">
        <v>10</v>
      </c>
      <c r="E119" s="482">
        <f t="shared" si="14"/>
        <v>6.3874891232633075</v>
      </c>
      <c r="F119" s="278">
        <f t="shared" si="15"/>
        <v>1.4826784980063301</v>
      </c>
      <c r="G119" s="278">
        <f t="shared" si="16"/>
        <v>2.1298323787303621</v>
      </c>
      <c r="H119" s="188"/>
      <c r="I119" s="188"/>
      <c r="J119" s="188"/>
      <c r="K119" s="188"/>
    </row>
    <row r="120" spans="1:11" x14ac:dyDescent="0.25">
      <c r="A120" s="205" t="s">
        <v>394</v>
      </c>
      <c r="B120" s="206" t="s">
        <v>395</v>
      </c>
      <c r="C120" s="206" t="s">
        <v>263</v>
      </c>
      <c r="D120" s="191">
        <v>14.21</v>
      </c>
      <c r="E120" s="482">
        <f t="shared" si="14"/>
        <v>9.0766220441571619</v>
      </c>
      <c r="F120" s="278">
        <f t="shared" si="15"/>
        <v>2.1068861456669952</v>
      </c>
      <c r="G120" s="278">
        <f t="shared" si="16"/>
        <v>3.0264918101758442</v>
      </c>
      <c r="H120" s="188"/>
      <c r="I120" s="188"/>
      <c r="J120" s="188"/>
      <c r="K120" s="188"/>
    </row>
    <row r="121" spans="1:11" x14ac:dyDescent="0.25">
      <c r="A121" s="205" t="s">
        <v>396</v>
      </c>
      <c r="B121" s="206" t="s">
        <v>297</v>
      </c>
      <c r="C121" s="206" t="s">
        <v>358</v>
      </c>
      <c r="D121" s="191">
        <v>10</v>
      </c>
      <c r="E121" s="482">
        <f t="shared" si="14"/>
        <v>6.3874891232633075</v>
      </c>
      <c r="F121" s="278">
        <f t="shared" si="15"/>
        <v>1.4826784980063301</v>
      </c>
      <c r="G121" s="278">
        <f t="shared" si="16"/>
        <v>2.1298323787303621</v>
      </c>
      <c r="H121" s="188"/>
      <c r="I121" s="188"/>
      <c r="J121" s="188"/>
      <c r="K121" s="188"/>
    </row>
    <row r="122" spans="1:11" x14ac:dyDescent="0.25">
      <c r="A122" s="205" t="s">
        <v>397</v>
      </c>
      <c r="B122" s="206" t="s">
        <v>297</v>
      </c>
      <c r="C122" s="206" t="s">
        <v>358</v>
      </c>
      <c r="D122" s="191">
        <v>10</v>
      </c>
      <c r="E122" s="482">
        <f t="shared" si="14"/>
        <v>6.3874891232633075</v>
      </c>
      <c r="F122" s="278">
        <f t="shared" si="15"/>
        <v>1.4826784980063301</v>
      </c>
      <c r="G122" s="278">
        <f t="shared" si="16"/>
        <v>2.1298323787303621</v>
      </c>
      <c r="H122" s="188"/>
      <c r="I122" s="188"/>
      <c r="J122" s="188"/>
      <c r="K122" s="188"/>
    </row>
    <row r="123" spans="1:11" x14ac:dyDescent="0.25">
      <c r="A123" s="205" t="s">
        <v>398</v>
      </c>
      <c r="B123" s="206" t="s">
        <v>381</v>
      </c>
      <c r="C123" s="206" t="s">
        <v>358</v>
      </c>
      <c r="D123" s="191">
        <v>14.22</v>
      </c>
      <c r="E123" s="482">
        <f t="shared" si="14"/>
        <v>9.0830095332804248</v>
      </c>
      <c r="F123" s="278">
        <f t="shared" si="15"/>
        <v>2.1083688241650016</v>
      </c>
      <c r="G123" s="278">
        <f t="shared" si="16"/>
        <v>3.0286216425545747</v>
      </c>
      <c r="H123" s="188"/>
      <c r="I123" s="188"/>
      <c r="J123" s="188"/>
      <c r="K123" s="188"/>
    </row>
    <row r="124" spans="1:11" x14ac:dyDescent="0.25">
      <c r="A124" s="207"/>
      <c r="B124" s="190"/>
      <c r="C124" s="190"/>
      <c r="D124" s="191"/>
      <c r="E124" s="482">
        <f t="shared" si="14"/>
        <v>0</v>
      </c>
      <c r="F124" s="278">
        <f t="shared" si="15"/>
        <v>0</v>
      </c>
      <c r="G124" s="278">
        <f t="shared" si="16"/>
        <v>0</v>
      </c>
      <c r="H124" s="188"/>
      <c r="I124" s="188"/>
      <c r="J124" s="188"/>
      <c r="K124" s="188"/>
    </row>
    <row r="125" spans="1:11" ht="15.75" x14ac:dyDescent="0.25">
      <c r="A125" s="208"/>
      <c r="B125" s="190"/>
      <c r="C125" s="190"/>
      <c r="D125" s="191"/>
      <c r="E125" s="482">
        <f t="shared" si="14"/>
        <v>0</v>
      </c>
      <c r="F125" s="278">
        <f t="shared" si="15"/>
        <v>0</v>
      </c>
      <c r="G125" s="278">
        <f t="shared" si="16"/>
        <v>0</v>
      </c>
      <c r="H125" s="188"/>
      <c r="I125" s="188"/>
      <c r="J125" s="188"/>
      <c r="K125" s="188"/>
    </row>
    <row r="126" spans="1:11" ht="16.5" thickBot="1" x14ac:dyDescent="0.3">
      <c r="A126" s="208"/>
      <c r="B126" s="190"/>
      <c r="C126" s="190"/>
      <c r="D126" s="191"/>
      <c r="E126" s="482">
        <f t="shared" si="14"/>
        <v>0</v>
      </c>
      <c r="F126" s="278">
        <f t="shared" si="15"/>
        <v>0</v>
      </c>
      <c r="G126" s="278">
        <f t="shared" si="16"/>
        <v>0</v>
      </c>
      <c r="H126" s="188"/>
      <c r="I126" s="188"/>
      <c r="J126" s="188"/>
      <c r="K126" s="188"/>
    </row>
    <row r="127" spans="1:11" ht="16.5" thickBot="1" x14ac:dyDescent="0.3">
      <c r="A127" s="209" t="s">
        <v>235</v>
      </c>
      <c r="B127" s="210"/>
      <c r="C127" s="210"/>
      <c r="D127" s="271">
        <f>+SUM(D112:D126)</f>
        <v>131.35</v>
      </c>
      <c r="E127" s="271">
        <f>+SUM(E112:E126)</f>
        <v>83.899669634063542</v>
      </c>
      <c r="F127" s="271">
        <f>+SUM(F112:F126)</f>
        <v>19.474982071313143</v>
      </c>
      <c r="G127" s="271">
        <f>+SUM(G112:G126)</f>
        <v>27.975348294623309</v>
      </c>
      <c r="H127" s="188"/>
      <c r="I127" s="141" t="s">
        <v>500</v>
      </c>
      <c r="J127" s="266">
        <f>D127-G127-F127-E127</f>
        <v>0</v>
      </c>
      <c r="K127" s="188"/>
    </row>
    <row r="128" spans="1:11" ht="16.5" thickBot="1" x14ac:dyDescent="0.3">
      <c r="A128" s="198"/>
      <c r="B128" s="199"/>
      <c r="C128" s="199"/>
      <c r="D128" s="199"/>
      <c r="E128" s="200"/>
      <c r="F128" s="199"/>
      <c r="G128" s="201"/>
      <c r="H128" s="188"/>
      <c r="I128" s="188"/>
      <c r="J128" s="188"/>
      <c r="K128" s="188"/>
    </row>
    <row r="129" spans="1:11" ht="47.25" customHeight="1" x14ac:dyDescent="0.25">
      <c r="A129" s="961" t="s">
        <v>242</v>
      </c>
      <c r="B129" s="962"/>
      <c r="C129" s="962"/>
      <c r="D129" s="963"/>
      <c r="E129" s="270">
        <f>+E174</f>
        <v>0.81160776118677636</v>
      </c>
      <c r="F129" s="270">
        <f>+E175</f>
        <v>0.18839223881322367</v>
      </c>
      <c r="G129" s="272">
        <v>0</v>
      </c>
      <c r="H129" s="188"/>
      <c r="I129" s="188"/>
      <c r="J129" s="188"/>
      <c r="K129" s="188"/>
    </row>
    <row r="130" spans="1:11" ht="30.75" customHeight="1" thickBot="1" x14ac:dyDescent="0.3">
      <c r="A130" s="964" t="s">
        <v>236</v>
      </c>
      <c r="B130" s="965"/>
      <c r="C130" s="965"/>
      <c r="D130" s="965"/>
      <c r="E130" s="965"/>
      <c r="F130" s="965"/>
      <c r="G130" s="966"/>
      <c r="H130" s="188"/>
      <c r="I130" s="188"/>
      <c r="J130" s="188"/>
      <c r="K130" s="188"/>
    </row>
    <row r="131" spans="1:11" ht="30.75" thickBot="1" x14ac:dyDescent="0.3">
      <c r="A131" s="202" t="s">
        <v>0</v>
      </c>
      <c r="B131" s="202" t="s">
        <v>1</v>
      </c>
      <c r="C131" s="203" t="s">
        <v>115</v>
      </c>
      <c r="D131" s="204" t="s">
        <v>117</v>
      </c>
      <c r="E131" s="185" t="s">
        <v>116</v>
      </c>
      <c r="F131" s="185" t="s">
        <v>21</v>
      </c>
      <c r="G131" s="184" t="s">
        <v>124</v>
      </c>
      <c r="H131" s="188"/>
      <c r="I131" s="188"/>
      <c r="J131" s="188"/>
      <c r="K131" s="188"/>
    </row>
    <row r="132" spans="1:11" x14ac:dyDescent="0.25">
      <c r="A132" s="207" t="s">
        <v>276</v>
      </c>
      <c r="B132" s="190" t="s">
        <v>383</v>
      </c>
      <c r="C132" s="190" t="s">
        <v>263</v>
      </c>
      <c r="D132" s="191">
        <v>17</v>
      </c>
      <c r="E132" s="482">
        <f t="shared" ref="E132:E139" si="17">+D132*$E$129</f>
        <v>13.797331940175198</v>
      </c>
      <c r="F132" s="278">
        <f t="shared" ref="F132:F139" si="18">+D132*$F$129</f>
        <v>3.2026680598248025</v>
      </c>
      <c r="G132" s="475">
        <f t="shared" ref="G132:G139" si="19">+D132*$G$129</f>
        <v>0</v>
      </c>
      <c r="H132" s="188"/>
      <c r="I132" s="188"/>
      <c r="J132" s="188"/>
      <c r="K132" s="188"/>
    </row>
    <row r="133" spans="1:11" x14ac:dyDescent="0.25">
      <c r="A133" s="207" t="s">
        <v>399</v>
      </c>
      <c r="B133" s="190" t="s">
        <v>383</v>
      </c>
      <c r="C133" s="190" t="s">
        <v>263</v>
      </c>
      <c r="D133" s="191">
        <v>17</v>
      </c>
      <c r="E133" s="482">
        <f t="shared" si="17"/>
        <v>13.797331940175198</v>
      </c>
      <c r="F133" s="278">
        <f t="shared" si="18"/>
        <v>3.2026680598248025</v>
      </c>
      <c r="G133" s="475">
        <f t="shared" si="19"/>
        <v>0</v>
      </c>
      <c r="H133" s="188"/>
      <c r="I133" s="188"/>
      <c r="J133" s="188"/>
      <c r="K133" s="188"/>
    </row>
    <row r="134" spans="1:11" x14ac:dyDescent="0.25">
      <c r="A134" s="207" t="s">
        <v>400</v>
      </c>
      <c r="B134" s="190" t="s">
        <v>383</v>
      </c>
      <c r="C134" s="190" t="s">
        <v>263</v>
      </c>
      <c r="D134" s="191">
        <v>10</v>
      </c>
      <c r="E134" s="482">
        <f t="shared" si="17"/>
        <v>8.1160776118677642</v>
      </c>
      <c r="F134" s="278">
        <f t="shared" si="18"/>
        <v>1.8839223881322367</v>
      </c>
      <c r="G134" s="475">
        <f t="shared" si="19"/>
        <v>0</v>
      </c>
      <c r="H134" s="188"/>
      <c r="I134" s="188"/>
      <c r="J134" s="188"/>
      <c r="K134" s="188"/>
    </row>
    <row r="135" spans="1:11" x14ac:dyDescent="0.25">
      <c r="A135" s="207" t="s">
        <v>401</v>
      </c>
      <c r="B135" s="190" t="s">
        <v>383</v>
      </c>
      <c r="C135" s="190" t="s">
        <v>263</v>
      </c>
      <c r="D135" s="191">
        <v>9.84</v>
      </c>
      <c r="E135" s="482">
        <f t="shared" si="17"/>
        <v>7.9862203700778789</v>
      </c>
      <c r="F135" s="278">
        <f t="shared" si="18"/>
        <v>1.853779629922121</v>
      </c>
      <c r="G135" s="475">
        <f t="shared" si="19"/>
        <v>0</v>
      </c>
      <c r="H135" s="188"/>
      <c r="I135" s="188"/>
      <c r="J135" s="188"/>
      <c r="K135" s="188"/>
    </row>
    <row r="136" spans="1:11" x14ac:dyDescent="0.25">
      <c r="A136" s="207" t="s">
        <v>402</v>
      </c>
      <c r="B136" s="190" t="s">
        <v>383</v>
      </c>
      <c r="C136" s="190" t="s">
        <v>358</v>
      </c>
      <c r="D136" s="191">
        <v>17</v>
      </c>
      <c r="E136" s="482">
        <f t="shared" si="17"/>
        <v>13.797331940175198</v>
      </c>
      <c r="F136" s="278">
        <f t="shared" si="18"/>
        <v>3.2026680598248025</v>
      </c>
      <c r="G136" s="475">
        <f t="shared" si="19"/>
        <v>0</v>
      </c>
      <c r="H136" s="188"/>
      <c r="I136" s="188"/>
      <c r="J136" s="188"/>
      <c r="K136" s="188"/>
    </row>
    <row r="137" spans="1:11" x14ac:dyDescent="0.25">
      <c r="A137" s="207" t="s">
        <v>403</v>
      </c>
      <c r="B137" s="190" t="s">
        <v>383</v>
      </c>
      <c r="C137" s="190" t="s">
        <v>358</v>
      </c>
      <c r="D137" s="191">
        <v>17</v>
      </c>
      <c r="E137" s="482">
        <f t="shared" si="17"/>
        <v>13.797331940175198</v>
      </c>
      <c r="F137" s="278">
        <f t="shared" si="18"/>
        <v>3.2026680598248025</v>
      </c>
      <c r="G137" s="475">
        <f t="shared" si="19"/>
        <v>0</v>
      </c>
      <c r="H137" s="188"/>
      <c r="I137" s="188"/>
      <c r="J137" s="188"/>
      <c r="K137" s="188"/>
    </row>
    <row r="138" spans="1:11" x14ac:dyDescent="0.25">
      <c r="A138" s="207" t="s">
        <v>404</v>
      </c>
      <c r="B138" s="190" t="s">
        <v>383</v>
      </c>
      <c r="C138" s="190" t="s">
        <v>358</v>
      </c>
      <c r="D138" s="191">
        <v>38.130000000000003</v>
      </c>
      <c r="E138" s="482">
        <f t="shared" si="17"/>
        <v>30.946603934051783</v>
      </c>
      <c r="F138" s="278">
        <f t="shared" si="18"/>
        <v>7.1833960659482194</v>
      </c>
      <c r="G138" s="475">
        <f t="shared" si="19"/>
        <v>0</v>
      </c>
      <c r="H138" s="188"/>
      <c r="I138" s="188"/>
      <c r="J138" s="188"/>
      <c r="K138" s="188"/>
    </row>
    <row r="139" spans="1:11" x14ac:dyDescent="0.25">
      <c r="A139" s="207"/>
      <c r="B139" s="190"/>
      <c r="C139" s="190"/>
      <c r="D139" s="191"/>
      <c r="E139" s="482">
        <f t="shared" si="17"/>
        <v>0</v>
      </c>
      <c r="F139" s="278">
        <f t="shared" si="18"/>
        <v>0</v>
      </c>
      <c r="G139" s="475">
        <f t="shared" si="19"/>
        <v>0</v>
      </c>
      <c r="H139" s="188"/>
      <c r="I139" s="188"/>
      <c r="J139" s="188"/>
      <c r="K139" s="188"/>
    </row>
    <row r="140" spans="1:11" x14ac:dyDescent="0.25">
      <c r="A140" s="207"/>
      <c r="B140" s="190"/>
      <c r="C140" s="190"/>
      <c r="D140" s="191"/>
      <c r="E140" s="482">
        <f t="shared" ref="E140:E143" si="20">+D140*$E$129</f>
        <v>0</v>
      </c>
      <c r="F140" s="278">
        <f t="shared" ref="F140:F143" si="21">+D140*$F$129</f>
        <v>0</v>
      </c>
      <c r="G140" s="475">
        <f t="shared" ref="G140:G143" si="22">+D140*$G$129</f>
        <v>0</v>
      </c>
      <c r="H140" s="188"/>
      <c r="I140" s="188"/>
      <c r="J140" s="188"/>
      <c r="K140" s="188"/>
    </row>
    <row r="141" spans="1:11" x14ac:dyDescent="0.25">
      <c r="A141" s="207"/>
      <c r="B141" s="190"/>
      <c r="C141" s="190"/>
      <c r="D141" s="191"/>
      <c r="E141" s="482">
        <f t="shared" si="20"/>
        <v>0</v>
      </c>
      <c r="F141" s="278">
        <f t="shared" si="21"/>
        <v>0</v>
      </c>
      <c r="G141" s="475">
        <f t="shared" si="22"/>
        <v>0</v>
      </c>
      <c r="H141" s="188"/>
      <c r="I141" s="188"/>
      <c r="J141" s="188"/>
      <c r="K141" s="188"/>
    </row>
    <row r="142" spans="1:11" x14ac:dyDescent="0.25">
      <c r="A142" s="207"/>
      <c r="B142" s="190"/>
      <c r="C142" s="190"/>
      <c r="D142" s="191"/>
      <c r="E142" s="482">
        <f t="shared" si="20"/>
        <v>0</v>
      </c>
      <c r="F142" s="278">
        <f t="shared" si="21"/>
        <v>0</v>
      </c>
      <c r="G142" s="475">
        <f t="shared" si="22"/>
        <v>0</v>
      </c>
      <c r="H142" s="188"/>
      <c r="I142" s="188"/>
      <c r="J142" s="188"/>
      <c r="K142" s="188"/>
    </row>
    <row r="143" spans="1:11" x14ac:dyDescent="0.25">
      <c r="A143" s="207"/>
      <c r="B143" s="190"/>
      <c r="C143" s="190"/>
      <c r="D143" s="191"/>
      <c r="E143" s="482">
        <f t="shared" si="20"/>
        <v>0</v>
      </c>
      <c r="F143" s="278">
        <f t="shared" si="21"/>
        <v>0</v>
      </c>
      <c r="G143" s="475">
        <f t="shared" si="22"/>
        <v>0</v>
      </c>
      <c r="H143" s="188"/>
      <c r="I143" s="188"/>
      <c r="J143" s="188"/>
      <c r="K143" s="188"/>
    </row>
    <row r="144" spans="1:11" x14ac:dyDescent="0.25">
      <c r="A144" s="207"/>
      <c r="B144" s="190"/>
      <c r="C144" s="190"/>
      <c r="D144" s="191"/>
      <c r="E144" s="482">
        <f>+D144*$E$129</f>
        <v>0</v>
      </c>
      <c r="F144" s="278">
        <f>+D144*$F$129</f>
        <v>0</v>
      </c>
      <c r="G144" s="475">
        <f>+D144*$G$129</f>
        <v>0</v>
      </c>
      <c r="H144" s="188"/>
      <c r="I144" s="188"/>
      <c r="J144" s="188"/>
      <c r="K144" s="188"/>
    </row>
    <row r="145" spans="1:11" ht="15.75" x14ac:dyDescent="0.25">
      <c r="A145" s="208"/>
      <c r="B145" s="190"/>
      <c r="C145" s="190"/>
      <c r="D145" s="191"/>
      <c r="E145" s="482">
        <f>+D145*$E$129</f>
        <v>0</v>
      </c>
      <c r="F145" s="278">
        <f>+D145*$F$129</f>
        <v>0</v>
      </c>
      <c r="G145" s="475">
        <f>+D145*$G$129</f>
        <v>0</v>
      </c>
      <c r="H145" s="188"/>
      <c r="I145" s="188"/>
      <c r="J145" s="188"/>
      <c r="K145" s="188"/>
    </row>
    <row r="146" spans="1:11" ht="16.5" thickBot="1" x14ac:dyDescent="0.3">
      <c r="A146" s="208"/>
      <c r="B146" s="190"/>
      <c r="C146" s="190"/>
      <c r="D146" s="191"/>
      <c r="E146" s="483">
        <f>+D146*$E$129</f>
        <v>0</v>
      </c>
      <c r="F146" s="484">
        <f>+D146*$F$129</f>
        <v>0</v>
      </c>
      <c r="G146" s="479">
        <f>+D146*$G$129</f>
        <v>0</v>
      </c>
      <c r="H146" s="188"/>
      <c r="I146" s="188"/>
      <c r="J146" s="188"/>
      <c r="K146" s="188"/>
    </row>
    <row r="147" spans="1:11" ht="16.5" thickBot="1" x14ac:dyDescent="0.3">
      <c r="A147" s="209" t="s">
        <v>197</v>
      </c>
      <c r="B147" s="210"/>
      <c r="C147" s="210"/>
      <c r="D147" s="271">
        <f>+SUM(D132:D146)</f>
        <v>125.97</v>
      </c>
      <c r="E147" s="271">
        <f>+SUM(E132:E146)</f>
        <v>102.23822967669821</v>
      </c>
      <c r="F147" s="271">
        <f>+SUM(F132:F146)</f>
        <v>23.731770323301788</v>
      </c>
      <c r="G147" s="265">
        <f>+SUM(G132:G146)</f>
        <v>0</v>
      </c>
      <c r="H147" s="188"/>
      <c r="I147" s="141" t="s">
        <v>500</v>
      </c>
      <c r="J147" s="266">
        <f>D147-G147-F147-E147</f>
        <v>0</v>
      </c>
      <c r="K147" s="188"/>
    </row>
    <row r="148" spans="1:11" ht="16.5" thickBot="1" x14ac:dyDescent="0.3">
      <c r="A148" s="198"/>
      <c r="B148" s="199"/>
      <c r="C148" s="199"/>
      <c r="D148" s="199"/>
      <c r="E148" s="200"/>
      <c r="F148" s="199"/>
      <c r="G148" s="201"/>
      <c r="H148" s="188"/>
      <c r="I148" s="188"/>
      <c r="J148" s="188"/>
      <c r="K148" s="188"/>
    </row>
    <row r="149" spans="1:11" ht="16.5" thickBot="1" x14ac:dyDescent="0.3">
      <c r="A149" s="209" t="s">
        <v>119</v>
      </c>
      <c r="B149" s="210"/>
      <c r="C149" s="210"/>
      <c r="D149" s="271">
        <f>+D147+D107+D91+D66+D127</f>
        <v>1303.1299999999999</v>
      </c>
      <c r="E149" s="271">
        <f>+E147+E107+E91+E66+E127</f>
        <v>854.14789931076177</v>
      </c>
      <c r="F149" s="271">
        <f>+F147+F107+F91+F66+F127</f>
        <v>198.26675239461494</v>
      </c>
      <c r="G149" s="271">
        <f>+G147+G107+G91+G66+G127</f>
        <v>250.71534829462328</v>
      </c>
      <c r="H149" s="188"/>
      <c r="I149" s="141" t="s">
        <v>500</v>
      </c>
      <c r="J149" s="266">
        <f>D149-G149-F149-E149</f>
        <v>0</v>
      </c>
      <c r="K149" s="188"/>
    </row>
    <row r="150" spans="1:11" ht="16.5" thickBot="1" x14ac:dyDescent="0.3">
      <c r="A150" s="198"/>
      <c r="B150" s="199"/>
      <c r="C150" s="199"/>
      <c r="D150" s="199"/>
      <c r="E150" s="200"/>
      <c r="F150" s="199"/>
      <c r="G150" s="201"/>
      <c r="H150" s="188"/>
      <c r="I150" s="188"/>
      <c r="J150" s="188"/>
      <c r="K150" s="188"/>
    </row>
    <row r="151" spans="1:11" ht="19.5" thickBot="1" x14ac:dyDescent="0.35">
      <c r="A151" s="211" t="s">
        <v>122</v>
      </c>
      <c r="B151" s="212"/>
      <c r="C151" s="212"/>
      <c r="D151" s="213"/>
      <c r="E151" s="214" t="s">
        <v>123</v>
      </c>
      <c r="F151" s="214" t="s">
        <v>244</v>
      </c>
      <c r="G151" s="93"/>
      <c r="H151" s="188"/>
      <c r="I151" s="188"/>
      <c r="J151" s="188"/>
      <c r="K151" s="188"/>
    </row>
    <row r="152" spans="1:11" x14ac:dyDescent="0.25">
      <c r="A152" s="215" t="s">
        <v>2</v>
      </c>
      <c r="B152" s="216"/>
      <c r="C152" s="216"/>
      <c r="D152" s="273">
        <f>+D149</f>
        <v>1303.1299999999999</v>
      </c>
      <c r="E152" s="274">
        <f>D152/D149</f>
        <v>1</v>
      </c>
      <c r="F152" s="273"/>
      <c r="G152" s="93" t="s">
        <v>237</v>
      </c>
      <c r="H152" s="188"/>
      <c r="I152" s="188"/>
      <c r="J152" s="188"/>
      <c r="K152" s="188"/>
    </row>
    <row r="153" spans="1:11" x14ac:dyDescent="0.25">
      <c r="A153" s="76"/>
      <c r="B153" s="88"/>
      <c r="C153" s="88"/>
      <c r="D153" s="217"/>
      <c r="E153" s="218"/>
      <c r="F153" s="217"/>
      <c r="G153" s="93" t="s">
        <v>238</v>
      </c>
      <c r="H153" s="188"/>
      <c r="I153" s="188"/>
      <c r="J153" s="188"/>
      <c r="K153" s="188"/>
    </row>
    <row r="154" spans="1:11" x14ac:dyDescent="0.25">
      <c r="A154" s="76" t="s">
        <v>121</v>
      </c>
      <c r="B154" s="88"/>
      <c r="C154" s="88"/>
      <c r="D154" s="275">
        <f>D66</f>
        <v>668.01</v>
      </c>
      <c r="E154" s="276">
        <f>D154/D157</f>
        <v>0.6387489123263308</v>
      </c>
      <c r="F154" s="275">
        <f>D154/Stammdaten!B7</f>
        <v>27.833749999999998</v>
      </c>
      <c r="G154" s="277">
        <f>D154/(D154+D155)</f>
        <v>0.81160776118677636</v>
      </c>
      <c r="H154" s="188"/>
      <c r="I154" s="188"/>
      <c r="J154" s="188"/>
      <c r="K154" s="188"/>
    </row>
    <row r="155" spans="1:11" x14ac:dyDescent="0.25">
      <c r="A155" s="76" t="s">
        <v>3</v>
      </c>
      <c r="B155" s="88"/>
      <c r="C155" s="88"/>
      <c r="D155" s="275">
        <f>D91</f>
        <v>155.06</v>
      </c>
      <c r="E155" s="276">
        <f>D155/D157</f>
        <v>0.14826784980063301</v>
      </c>
      <c r="F155" s="275">
        <f>D155/Stammdaten!B7</f>
        <v>6.4608333333333334</v>
      </c>
      <c r="G155" s="277">
        <f>D155/(D155+D154)</f>
        <v>0.18839223881322367</v>
      </c>
      <c r="H155" s="188"/>
      <c r="I155" s="188"/>
      <c r="J155" s="188"/>
      <c r="K155" s="188"/>
    </row>
    <row r="156" spans="1:11" x14ac:dyDescent="0.25">
      <c r="A156" s="113" t="s">
        <v>59</v>
      </c>
      <c r="B156" s="114"/>
      <c r="C156" s="114"/>
      <c r="D156" s="278">
        <f>D107</f>
        <v>222.73999999999998</v>
      </c>
      <c r="E156" s="279">
        <f>D156/D157</f>
        <v>0.21298323787303619</v>
      </c>
      <c r="F156" s="220"/>
      <c r="G156" s="93"/>
      <c r="H156" s="188"/>
      <c r="I156" s="188"/>
      <c r="J156" s="188"/>
      <c r="K156" s="188"/>
    </row>
    <row r="157" spans="1:11" x14ac:dyDescent="0.25">
      <c r="A157" s="76" t="s">
        <v>120</v>
      </c>
      <c r="B157" s="88"/>
      <c r="C157" s="88"/>
      <c r="D157" s="275">
        <f>D155+D154+D156</f>
        <v>1045.81</v>
      </c>
      <c r="E157" s="276">
        <f>SUM(E154:E156)</f>
        <v>1</v>
      </c>
      <c r="F157" s="221"/>
      <c r="G157" s="93"/>
      <c r="H157" s="188"/>
      <c r="I157" s="188"/>
      <c r="J157" s="188"/>
      <c r="K157" s="188"/>
    </row>
    <row r="158" spans="1:11" x14ac:dyDescent="0.25">
      <c r="A158" s="76"/>
      <c r="B158" s="88"/>
      <c r="C158" s="88"/>
      <c r="D158" s="217"/>
      <c r="E158" s="221"/>
      <c r="F158" s="221"/>
      <c r="G158" s="93"/>
      <c r="H158" s="188"/>
      <c r="I158" s="188"/>
      <c r="J158" s="188"/>
      <c r="K158" s="188"/>
    </row>
    <row r="159" spans="1:11" x14ac:dyDescent="0.25">
      <c r="A159" s="76" t="s">
        <v>239</v>
      </c>
      <c r="B159" s="88"/>
      <c r="C159" s="88"/>
      <c r="D159" s="275">
        <f>D127</f>
        <v>131.35</v>
      </c>
      <c r="E159" s="221"/>
      <c r="F159" s="221"/>
      <c r="G159" s="93"/>
      <c r="H159" s="188"/>
      <c r="I159" s="188"/>
      <c r="J159" s="188"/>
      <c r="K159" s="188"/>
    </row>
    <row r="160" spans="1:11" x14ac:dyDescent="0.25">
      <c r="A160" s="76" t="s">
        <v>4</v>
      </c>
      <c r="B160" s="88" t="s">
        <v>31</v>
      </c>
      <c r="C160" s="88"/>
      <c r="D160" s="275">
        <f>D159*E160</f>
        <v>83.899669634063542</v>
      </c>
      <c r="E160" s="276">
        <f>+E154</f>
        <v>0.6387489123263308</v>
      </c>
      <c r="F160" s="275">
        <f>D160/Stammdaten!B7</f>
        <v>3.4958195680859809</v>
      </c>
      <c r="G160" s="93"/>
      <c r="H160" s="188"/>
      <c r="I160" s="188"/>
      <c r="J160" s="188"/>
      <c r="K160" s="188"/>
    </row>
    <row r="161" spans="1:11" x14ac:dyDescent="0.25">
      <c r="A161" s="76"/>
      <c r="B161" s="88" t="s">
        <v>5</v>
      </c>
      <c r="C161" s="88"/>
      <c r="D161" s="275">
        <f>D159*E161</f>
        <v>19.474982071313146</v>
      </c>
      <c r="E161" s="276">
        <f>+E155</f>
        <v>0.14826784980063301</v>
      </c>
      <c r="F161" s="275">
        <f>D161/Stammdaten!B7</f>
        <v>0.81145758630471443</v>
      </c>
      <c r="G161" s="93"/>
      <c r="H161" s="188"/>
      <c r="I161" s="188"/>
      <c r="J161" s="188"/>
      <c r="K161" s="188"/>
    </row>
    <row r="162" spans="1:11" x14ac:dyDescent="0.25">
      <c r="A162" s="76"/>
      <c r="B162" s="88" t="s">
        <v>60</v>
      </c>
      <c r="C162" s="88"/>
      <c r="D162" s="275">
        <f>D159*E162</f>
        <v>27.975348294623302</v>
      </c>
      <c r="E162" s="276">
        <f>+E156</f>
        <v>0.21298323787303619</v>
      </c>
      <c r="F162" s="217"/>
      <c r="G162" s="93"/>
      <c r="H162" s="188"/>
      <c r="I162" s="188"/>
      <c r="J162" s="188"/>
      <c r="K162" s="188"/>
    </row>
    <row r="163" spans="1:11" x14ac:dyDescent="0.25">
      <c r="A163" s="76"/>
      <c r="B163" s="88"/>
      <c r="C163" s="88"/>
      <c r="D163" s="217"/>
      <c r="E163" s="219"/>
      <c r="F163" s="217"/>
      <c r="G163" s="93"/>
      <c r="H163" s="188"/>
      <c r="I163" s="197"/>
      <c r="J163" s="222"/>
      <c r="K163" s="188"/>
    </row>
    <row r="164" spans="1:11" x14ac:dyDescent="0.25">
      <c r="A164" s="76" t="s">
        <v>240</v>
      </c>
      <c r="B164" s="88"/>
      <c r="C164" s="88"/>
      <c r="D164" s="275">
        <f>D147</f>
        <v>125.97</v>
      </c>
      <c r="E164" s="221"/>
      <c r="F164" s="221"/>
      <c r="G164" s="93"/>
      <c r="H164" s="188"/>
      <c r="I164" s="197"/>
      <c r="J164" s="222"/>
      <c r="K164" s="188"/>
    </row>
    <row r="165" spans="1:11" x14ac:dyDescent="0.25">
      <c r="A165" s="76" t="s">
        <v>4</v>
      </c>
      <c r="B165" s="88" t="s">
        <v>31</v>
      </c>
      <c r="C165" s="88"/>
      <c r="D165" s="275">
        <f>D164*E165</f>
        <v>102.23822967669821</v>
      </c>
      <c r="E165" s="276">
        <f>+G154</f>
        <v>0.81160776118677636</v>
      </c>
      <c r="F165" s="275">
        <f>D165/Stammdaten!B7</f>
        <v>4.2599262365290924</v>
      </c>
      <c r="G165" s="93"/>
      <c r="H165" s="188"/>
      <c r="I165" s="197"/>
      <c r="J165" s="222"/>
      <c r="K165" s="188"/>
    </row>
    <row r="166" spans="1:11" x14ac:dyDescent="0.25">
      <c r="A166" s="76"/>
      <c r="B166" s="88" t="s">
        <v>5</v>
      </c>
      <c r="C166" s="88"/>
      <c r="D166" s="275">
        <f>D164*E166</f>
        <v>23.731770323301784</v>
      </c>
      <c r="E166" s="276">
        <f>+G155</f>
        <v>0.18839223881322367</v>
      </c>
      <c r="F166" s="275">
        <f>D166/Stammdaten!B7</f>
        <v>0.98882376347090772</v>
      </c>
      <c r="G166" s="93"/>
      <c r="H166" s="188"/>
      <c r="I166" s="141" t="s">
        <v>500</v>
      </c>
      <c r="J166" s="266">
        <f>D152-D157-D162-D160-D161-D165-D166</f>
        <v>-5.3290705182007514E-14</v>
      </c>
      <c r="K166" s="188"/>
    </row>
    <row r="167" spans="1:11" ht="15.75" thickBot="1" x14ac:dyDescent="0.3">
      <c r="A167" s="76"/>
      <c r="B167" s="88"/>
      <c r="C167" s="88"/>
      <c r="D167" s="217"/>
      <c r="E167" s="221"/>
      <c r="F167" s="221"/>
      <c r="G167" s="93"/>
      <c r="H167" s="188"/>
      <c r="I167" s="188"/>
      <c r="J167" s="188"/>
      <c r="K167" s="188"/>
    </row>
    <row r="168" spans="1:11" ht="19.5" thickBot="1" x14ac:dyDescent="0.35">
      <c r="A168" s="223" t="s">
        <v>7</v>
      </c>
      <c r="B168" s="224"/>
      <c r="C168" s="224"/>
      <c r="D168" s="225"/>
      <c r="E168" s="226" t="s">
        <v>123</v>
      </c>
      <c r="F168" s="226"/>
      <c r="G168" s="93"/>
      <c r="H168" s="188"/>
      <c r="I168" s="188"/>
      <c r="J168" s="188"/>
      <c r="K168" s="188"/>
    </row>
    <row r="169" spans="1:11" ht="19.5" thickBot="1" x14ac:dyDescent="0.35">
      <c r="A169" s="104"/>
      <c r="B169" s="227"/>
      <c r="C169" s="228" t="s">
        <v>32</v>
      </c>
      <c r="D169" s="280">
        <f>D154+D160+D165</f>
        <v>854.14789931076177</v>
      </c>
      <c r="E169" s="901">
        <f>D169/D172</f>
        <v>0.65545870274704887</v>
      </c>
      <c r="F169" s="229"/>
      <c r="G169" s="93"/>
      <c r="H169" s="188"/>
      <c r="I169" s="141" t="s">
        <v>500</v>
      </c>
      <c r="J169" s="266">
        <f>D169-E149</f>
        <v>0</v>
      </c>
      <c r="K169" s="188"/>
    </row>
    <row r="170" spans="1:11" ht="19.5" thickBot="1" x14ac:dyDescent="0.35">
      <c r="A170" s="104"/>
      <c r="B170" s="227"/>
      <c r="C170" s="228" t="s">
        <v>8</v>
      </c>
      <c r="D170" s="280">
        <f>D155+D161+D166</f>
        <v>198.26675239461494</v>
      </c>
      <c r="E170" s="901">
        <f>D170/D172</f>
        <v>0.15214656434478138</v>
      </c>
      <c r="F170" s="229"/>
      <c r="G170" s="93"/>
      <c r="H170" s="188"/>
      <c r="I170" s="141" t="s">
        <v>500</v>
      </c>
      <c r="J170" s="266">
        <f>D170-F149</f>
        <v>0</v>
      </c>
      <c r="K170" s="188"/>
    </row>
    <row r="171" spans="1:11" ht="19.5" thickBot="1" x14ac:dyDescent="0.35">
      <c r="A171" s="230"/>
      <c r="B171" s="231"/>
      <c r="C171" s="232" t="s">
        <v>60</v>
      </c>
      <c r="D171" s="281">
        <f>D162+D156</f>
        <v>250.71534829462328</v>
      </c>
      <c r="E171" s="901">
        <f>D171/D172</f>
        <v>0.1923947329081698</v>
      </c>
      <c r="F171" s="234"/>
      <c r="G171" s="93"/>
      <c r="H171" s="188"/>
      <c r="I171" s="141" t="s">
        <v>500</v>
      </c>
      <c r="J171" s="266">
        <f>D171-G149</f>
        <v>0</v>
      </c>
      <c r="K171" s="188"/>
    </row>
    <row r="172" spans="1:11" ht="19.5" thickBot="1" x14ac:dyDescent="0.35">
      <c r="A172" s="104"/>
      <c r="B172" s="235"/>
      <c r="C172" s="235"/>
      <c r="D172" s="282">
        <f>SUM(D169:D171)</f>
        <v>1303.1299999999999</v>
      </c>
      <c r="E172" s="283">
        <f>SUM(E169:E171)</f>
        <v>1</v>
      </c>
      <c r="F172" s="229"/>
      <c r="G172" s="93"/>
      <c r="H172" s="188"/>
      <c r="I172" s="141" t="s">
        <v>500</v>
      </c>
      <c r="J172" s="266">
        <f>D152-D172</f>
        <v>0</v>
      </c>
      <c r="K172" s="188"/>
    </row>
    <row r="173" spans="1:11" ht="19.5" thickBot="1" x14ac:dyDescent="0.35">
      <c r="A173" s="223" t="s">
        <v>61</v>
      </c>
      <c r="B173" s="224"/>
      <c r="C173" s="224"/>
      <c r="D173" s="236"/>
      <c r="E173" s="226" t="s">
        <v>123</v>
      </c>
      <c r="F173" s="226" t="s">
        <v>244</v>
      </c>
      <c r="G173" s="93"/>
      <c r="H173" s="188"/>
      <c r="I173" s="188"/>
      <c r="J173" s="188"/>
      <c r="K173" s="188"/>
    </row>
    <row r="174" spans="1:11" ht="27" thickBot="1" x14ac:dyDescent="0.45">
      <c r="A174" s="237"/>
      <c r="B174" s="227"/>
      <c r="C174" s="228" t="s">
        <v>32</v>
      </c>
      <c r="D174" s="284">
        <f>D154+D160+D165</f>
        <v>854.14789931076177</v>
      </c>
      <c r="E174" s="285">
        <f>D174/D176</f>
        <v>0.81160776118677636</v>
      </c>
      <c r="F174" s="282">
        <f>D174/Stammdaten!B7</f>
        <v>35.589495804615076</v>
      </c>
      <c r="G174" s="93"/>
      <c r="H174" s="188"/>
      <c r="I174" s="141" t="s">
        <v>500</v>
      </c>
      <c r="J174" s="266">
        <f>D174-E149</f>
        <v>0</v>
      </c>
      <c r="K174" s="188"/>
    </row>
    <row r="175" spans="1:11" ht="27" thickBot="1" x14ac:dyDescent="0.45">
      <c r="A175" s="230"/>
      <c r="B175" s="231"/>
      <c r="C175" s="238" t="s">
        <v>8</v>
      </c>
      <c r="D175" s="284">
        <f>D161+D155+D166</f>
        <v>198.26675239461494</v>
      </c>
      <c r="E175" s="285">
        <f>D175/D176</f>
        <v>0.18839223881322367</v>
      </c>
      <c r="F175" s="281">
        <f>D175/Stammdaten!B7</f>
        <v>8.2611146831089552</v>
      </c>
      <c r="G175" s="93"/>
      <c r="H175" s="188"/>
      <c r="I175" s="141" t="s">
        <v>500</v>
      </c>
      <c r="J175" s="266">
        <f>D175-F149</f>
        <v>0</v>
      </c>
      <c r="K175" s="188"/>
    </row>
    <row r="176" spans="1:11" x14ac:dyDescent="0.25">
      <c r="A176" s="230"/>
      <c r="B176" s="239"/>
      <c r="C176" s="239"/>
      <c r="D176" s="233">
        <f>D175+D174</f>
        <v>1052.4146517053766</v>
      </c>
      <c r="E176" s="240">
        <f>+SUM(E174:E175)</f>
        <v>1</v>
      </c>
      <c r="F176" s="233">
        <f>F175+F174</f>
        <v>43.850610487724033</v>
      </c>
      <c r="G176" s="241"/>
      <c r="H176" s="188"/>
      <c r="I176" s="141" t="s">
        <v>500</v>
      </c>
      <c r="J176" s="266">
        <f>D176-D154-D160-D155-D161-D165-D166</f>
        <v>-8.1712414612411521E-14</v>
      </c>
      <c r="K176" s="188"/>
    </row>
    <row r="177" spans="1:11" x14ac:dyDescent="0.25">
      <c r="A177" s="242"/>
      <c r="B177" s="242"/>
      <c r="C177" s="242"/>
      <c r="D177" s="242"/>
      <c r="E177" s="242"/>
      <c r="F177" s="242"/>
      <c r="G177" s="188"/>
      <c r="H177" s="188"/>
      <c r="I177" s="188"/>
      <c r="J177" s="188"/>
      <c r="K177" s="188"/>
    </row>
    <row r="178" spans="1:11" x14ac:dyDescent="0.25">
      <c r="A178" s="243" t="s">
        <v>477</v>
      </c>
      <c r="B178" s="244"/>
      <c r="C178" s="244"/>
      <c r="D178" s="244"/>
      <c r="E178" s="244"/>
      <c r="F178" s="244"/>
      <c r="G178" s="245"/>
      <c r="H178" s="246"/>
      <c r="I178" s="246"/>
      <c r="J178" s="246"/>
      <c r="K178" s="188"/>
    </row>
    <row r="179" spans="1:11" x14ac:dyDescent="0.25">
      <c r="A179" s="247" t="s">
        <v>206</v>
      </c>
      <c r="B179" s="248"/>
      <c r="C179" s="248"/>
      <c r="D179" s="248"/>
      <c r="E179" s="248"/>
      <c r="F179" s="248"/>
      <c r="G179" s="249"/>
      <c r="H179" s="246"/>
      <c r="I179" s="246"/>
      <c r="J179" s="246"/>
      <c r="K179" s="188"/>
    </row>
    <row r="180" spans="1:11" x14ac:dyDescent="0.25">
      <c r="A180" s="247" t="s">
        <v>207</v>
      </c>
      <c r="B180" s="248"/>
      <c r="C180" s="248"/>
      <c r="D180" s="248"/>
      <c r="E180" s="248"/>
      <c r="F180" s="248"/>
      <c r="G180" s="249"/>
      <c r="H180" s="246"/>
      <c r="I180" s="246"/>
      <c r="J180" s="246"/>
      <c r="K180" s="188"/>
    </row>
    <row r="181" spans="1:11" x14ac:dyDescent="0.25">
      <c r="A181" s="247" t="s">
        <v>198</v>
      </c>
      <c r="B181" s="248"/>
      <c r="C181" s="248"/>
      <c r="D181" s="248"/>
      <c r="E181" s="248"/>
      <c r="F181" s="248"/>
      <c r="G181" s="249"/>
      <c r="H181" s="246"/>
      <c r="I181" s="246"/>
      <c r="J181" s="246"/>
      <c r="K181" s="188"/>
    </row>
    <row r="182" spans="1:11" x14ac:dyDescent="0.25">
      <c r="A182" s="247" t="s">
        <v>199</v>
      </c>
      <c r="B182" s="248"/>
      <c r="C182" s="248"/>
      <c r="D182" s="248"/>
      <c r="E182" s="248"/>
      <c r="F182" s="248"/>
      <c r="G182" s="249"/>
      <c r="H182" s="246"/>
      <c r="I182" s="246"/>
      <c r="J182" s="246"/>
      <c r="K182" s="188"/>
    </row>
    <row r="183" spans="1:11" ht="45" x14ac:dyDescent="0.25">
      <c r="A183" s="247"/>
      <c r="B183" s="248"/>
      <c r="C183" s="248"/>
      <c r="D183" s="248"/>
      <c r="E183" s="250" t="s">
        <v>200</v>
      </c>
      <c r="F183" s="250" t="s">
        <v>201</v>
      </c>
      <c r="G183" s="249"/>
      <c r="H183" s="246"/>
      <c r="I183" s="246"/>
      <c r="J183" s="246"/>
      <c r="K183" s="188"/>
    </row>
    <row r="184" spans="1:11" x14ac:dyDescent="0.25">
      <c r="A184" s="247" t="s">
        <v>202</v>
      </c>
      <c r="B184" s="248"/>
      <c r="C184" s="248"/>
      <c r="D184" s="286">
        <f>D66</f>
        <v>668.01</v>
      </c>
      <c r="E184" s="287">
        <f>D184/D192</f>
        <v>0.63474030784114299</v>
      </c>
      <c r="F184" s="287">
        <f>D184/D186</f>
        <v>0.78207767125463612</v>
      </c>
      <c r="G184" s="249"/>
      <c r="H184" s="246"/>
      <c r="I184" s="252"/>
      <c r="J184" s="252"/>
      <c r="K184" s="188"/>
    </row>
    <row r="185" spans="1:11" x14ac:dyDescent="0.25">
      <c r="A185" s="253" t="s">
        <v>203</v>
      </c>
      <c r="B185" s="254"/>
      <c r="C185" s="254"/>
      <c r="D185" s="288">
        <f>D160+D165</f>
        <v>186.13789931076175</v>
      </c>
      <c r="E185" s="289">
        <f>D185/D192</f>
        <v>0.17686745334563342</v>
      </c>
      <c r="F185" s="289">
        <f>D185/D186</f>
        <v>0.21792232874536382</v>
      </c>
      <c r="G185" s="249"/>
      <c r="H185" s="246"/>
      <c r="I185" s="246"/>
      <c r="J185" s="252"/>
      <c r="K185" s="188"/>
    </row>
    <row r="186" spans="1:11" x14ac:dyDescent="0.25">
      <c r="A186" s="247"/>
      <c r="B186" s="248"/>
      <c r="C186" s="248"/>
      <c r="D186" s="286">
        <f>SUM(D184:D185)</f>
        <v>854.14789931076177</v>
      </c>
      <c r="E186" s="290">
        <f>SUM(E184:E185)</f>
        <v>0.81160776118677647</v>
      </c>
      <c r="F186" s="290">
        <f>SUM(F184:F185)</f>
        <v>1</v>
      </c>
      <c r="G186" s="249"/>
      <c r="H186" s="246"/>
      <c r="I186" s="246"/>
      <c r="J186" s="252"/>
      <c r="K186" s="188"/>
    </row>
    <row r="187" spans="1:11" x14ac:dyDescent="0.25">
      <c r="A187" s="247"/>
      <c r="B187" s="248"/>
      <c r="C187" s="248"/>
      <c r="D187" s="251"/>
      <c r="E187" s="255"/>
      <c r="F187" s="256"/>
      <c r="G187" s="249"/>
      <c r="H187" s="246"/>
      <c r="I187" s="246"/>
      <c r="J187" s="246"/>
      <c r="K187" s="188"/>
    </row>
    <row r="188" spans="1:11" x14ac:dyDescent="0.25">
      <c r="A188" s="247" t="s">
        <v>8</v>
      </c>
      <c r="B188" s="248"/>
      <c r="C188" s="248"/>
      <c r="D188" s="286">
        <f>D91</f>
        <v>155.06</v>
      </c>
      <c r="E188" s="255"/>
      <c r="F188" s="256"/>
      <c r="G188" s="249"/>
      <c r="H188" s="246"/>
      <c r="I188" s="246"/>
      <c r="J188" s="246"/>
      <c r="K188" s="188"/>
    </row>
    <row r="189" spans="1:11" x14ac:dyDescent="0.25">
      <c r="A189" s="253" t="s">
        <v>204</v>
      </c>
      <c r="B189" s="254"/>
      <c r="C189" s="254"/>
      <c r="D189" s="288">
        <f>D161+D166</f>
        <v>43.206752394614931</v>
      </c>
      <c r="E189" s="255"/>
      <c r="F189" s="256"/>
      <c r="G189" s="249"/>
      <c r="H189" s="246"/>
      <c r="I189" s="188"/>
      <c r="J189" s="188"/>
      <c r="K189" s="188"/>
    </row>
    <row r="190" spans="1:11" x14ac:dyDescent="0.25">
      <c r="A190" s="247"/>
      <c r="B190" s="248"/>
      <c r="C190" s="248"/>
      <c r="D190" s="286">
        <f>SUM(D188:D189)</f>
        <v>198.26675239461494</v>
      </c>
      <c r="E190" s="291">
        <f>D190/D192</f>
        <v>0.18839223881322367</v>
      </c>
      <c r="F190" s="292" t="s">
        <v>205</v>
      </c>
      <c r="G190" s="249"/>
      <c r="H190" s="246"/>
      <c r="I190" s="935" t="s">
        <v>500</v>
      </c>
      <c r="J190" s="293">
        <f>D190+D186-D169-D170</f>
        <v>0</v>
      </c>
      <c r="K190" s="188"/>
    </row>
    <row r="191" spans="1:11" ht="15.75" thickBot="1" x14ac:dyDescent="0.3">
      <c r="A191" s="257"/>
      <c r="B191" s="258"/>
      <c r="C191" s="258"/>
      <c r="D191" s="259"/>
      <c r="E191" s="256"/>
      <c r="F191" s="256"/>
      <c r="G191" s="249"/>
      <c r="H191" s="246"/>
      <c r="I191" s="246"/>
      <c r="J191" s="246"/>
      <c r="K191" s="188"/>
    </row>
    <row r="192" spans="1:11" ht="15.75" thickTop="1" x14ac:dyDescent="0.25">
      <c r="A192" s="253"/>
      <c r="B192" s="254"/>
      <c r="C192" s="254"/>
      <c r="D192" s="288">
        <f>D190+D186</f>
        <v>1052.4146517053766</v>
      </c>
      <c r="E192" s="260"/>
      <c r="F192" s="260"/>
      <c r="G192" s="261"/>
      <c r="H192" s="246"/>
      <c r="I192" s="246"/>
      <c r="J192" s="246"/>
      <c r="K192" s="188"/>
    </row>
  </sheetData>
  <sheetProtection sheet="1" objects="1" scenarios="1"/>
  <mergeCells count="5">
    <mergeCell ref="A5:G5"/>
    <mergeCell ref="A109:D109"/>
    <mergeCell ref="A110:G110"/>
    <mergeCell ref="A129:D129"/>
    <mergeCell ref="A130:G130"/>
  </mergeCells>
  <conditionalFormatting sqref="J166">
    <cfRule type="expression" dxfId="100" priority="24">
      <formula>$J$166=""</formula>
    </cfRule>
    <cfRule type="expression" dxfId="99" priority="40">
      <formula>OR(J166&lt;-0.0009,J166&gt;0.0009)</formula>
    </cfRule>
  </conditionalFormatting>
  <conditionalFormatting sqref="J169:J172">
    <cfRule type="expression" dxfId="98" priority="20">
      <formula>$J$166=""</formula>
    </cfRule>
    <cfRule type="expression" dxfId="97" priority="21">
      <formula>OR(J169&lt;-0.0009,J169&gt;0.0009)</formula>
    </cfRule>
  </conditionalFormatting>
  <conditionalFormatting sqref="J174">
    <cfRule type="expression" dxfId="96" priority="18">
      <formula>$J$166=""</formula>
    </cfRule>
    <cfRule type="expression" dxfId="95" priority="19">
      <formula>OR(J174&lt;-0.0009,J174&gt;0.0009)</formula>
    </cfRule>
  </conditionalFormatting>
  <conditionalFormatting sqref="J175:J176">
    <cfRule type="expression" dxfId="94" priority="16">
      <formula>$J$166=""</formula>
    </cfRule>
    <cfRule type="expression" dxfId="93" priority="17">
      <formula>OR(J175&lt;-0.0009,J175&gt;0.0009)</formula>
    </cfRule>
  </conditionalFormatting>
  <conditionalFormatting sqref="J149">
    <cfRule type="expression" dxfId="92" priority="14">
      <formula>$J$166=""</formula>
    </cfRule>
    <cfRule type="expression" dxfId="91" priority="15">
      <formula>OR(J149&lt;-0.0009,J149&gt;0.0009)</formula>
    </cfRule>
  </conditionalFormatting>
  <conditionalFormatting sqref="J147">
    <cfRule type="expression" dxfId="90" priority="12">
      <formula>$J$166=""</formula>
    </cfRule>
    <cfRule type="expression" dxfId="89" priority="13">
      <formula>OR(J147&lt;-0.0009,J147&gt;0.0009)</formula>
    </cfRule>
  </conditionalFormatting>
  <conditionalFormatting sqref="J127">
    <cfRule type="expression" dxfId="88" priority="10">
      <formula>$J$166=""</formula>
    </cfRule>
    <cfRule type="expression" dxfId="87" priority="11">
      <formula>OR(J127&lt;-0.0009,J127&gt;0.0009)</formula>
    </cfRule>
  </conditionalFormatting>
  <conditionalFormatting sqref="J107">
    <cfRule type="expression" dxfId="86" priority="8">
      <formula>$J$166=""</formula>
    </cfRule>
    <cfRule type="expression" dxfId="85" priority="9">
      <formula>OR(J107&lt;-0.0009,J107&gt;0.0009)</formula>
    </cfRule>
  </conditionalFormatting>
  <conditionalFormatting sqref="J91">
    <cfRule type="expression" dxfId="84" priority="6">
      <formula>$J$166=""</formula>
    </cfRule>
    <cfRule type="expression" dxfId="83" priority="7">
      <formula>OR(J91&lt;-0.0009,J91&gt;0.0009)</formula>
    </cfRule>
  </conditionalFormatting>
  <conditionalFormatting sqref="J66">
    <cfRule type="expression" dxfId="82" priority="4">
      <formula>$J$166=""</formula>
    </cfRule>
    <cfRule type="expression" dxfId="81" priority="5">
      <formula>OR(J66&lt;-0.0009,J66&gt;0.0009)</formula>
    </cfRule>
  </conditionalFormatting>
  <conditionalFormatting sqref="J190">
    <cfRule type="expression" dxfId="80" priority="2">
      <formula>$J$166=""</formula>
    </cfRule>
    <cfRule type="expression" dxfId="79" priority="3">
      <formula>OR(J190&lt;-0.0009,J190&gt;0.0009)</formula>
    </cfRule>
  </conditionalFormatting>
  <pageMargins left="0.7" right="0.7" top="0.78740157499999996" bottom="0.78740157499999996" header="0.3" footer="0.3"/>
  <pageSetup paperSize="9" scale="71" fitToWidth="0" fitToHeight="0" orientation="portrait" r:id="rId1"/>
  <rowBreaks count="3" manualBreakCount="3">
    <brk id="66" max="6" man="1"/>
    <brk id="128" max="6" man="1"/>
    <brk id="180" max="6" man="1"/>
  </rowBreaks>
  <ignoredErrors>
    <ignoredError sqref="D153:J153 E132:J146 F129 E121:J126 D163:J163 E160 D151:E151 G151:J151 E176 D173:E173 G173:J173 D158:J158 H154:J154 H155:J155 G160:J160 E161 G161:J161 D167:J168 E165 G165:J165 E166 G166:H166 G174:H174 G175:H175 F172:H172 F169:H169 F170:H170 F171:H171 G176:H176 F152:J152 F156:J156 F157:J157 E159:J159 E162:J162 E164:J164 F149:H149 E148:J148 E147:H147 E127:H127"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I125"/>
  <sheetViews>
    <sheetView zoomScaleNormal="100" workbookViewId="0">
      <selection activeCell="A4" sqref="A4"/>
    </sheetView>
  </sheetViews>
  <sheetFormatPr baseColWidth="10" defaultColWidth="11.42578125" defaultRowHeight="15" x14ac:dyDescent="0.25"/>
  <cols>
    <col min="1" max="1" width="22" style="146" customWidth="1"/>
    <col min="2" max="2" width="29.28515625" style="146" customWidth="1"/>
    <col min="3" max="3" width="12.85546875" style="426" customWidth="1"/>
    <col min="4" max="4" width="17.7109375" style="426" bestFit="1" customWidth="1"/>
    <col min="5" max="5" width="16.42578125" style="146" customWidth="1"/>
    <col min="6" max="6" width="15.85546875" style="146" customWidth="1"/>
    <col min="7" max="7" width="5.28515625" style="67" customWidth="1"/>
    <col min="8" max="8" width="12.140625" style="146" customWidth="1"/>
    <col min="9" max="9" width="14.42578125" style="146" bestFit="1" customWidth="1"/>
    <col min="10" max="16384" width="11.42578125" style="146"/>
  </cols>
  <sheetData>
    <row r="1" spans="1:8" ht="26.25" x14ac:dyDescent="0.4">
      <c r="A1" s="64" t="s">
        <v>30</v>
      </c>
      <c r="B1" s="145"/>
      <c r="C1" s="294"/>
      <c r="D1" s="294"/>
      <c r="E1" s="145"/>
      <c r="F1" s="92"/>
    </row>
    <row r="2" spans="1:8" ht="26.25" x14ac:dyDescent="0.4">
      <c r="A2" s="68" t="s">
        <v>167</v>
      </c>
      <c r="B2" s="147"/>
      <c r="C2" s="295"/>
      <c r="D2" s="295"/>
      <c r="E2" s="147"/>
      <c r="F2" s="70" t="str">
        <f>+Stammdaten!D2</f>
        <v>Version 1.3</v>
      </c>
    </row>
    <row r="3" spans="1:8" x14ac:dyDescent="0.25">
      <c r="A3" s="296" t="str">
        <f>+Stammdaten!B5</f>
        <v>Wohnheim Musterdorf</v>
      </c>
      <c r="B3" s="150"/>
      <c r="C3" s="150" t="str">
        <f>+Stammdaten!B3</f>
        <v>Beispiel-Landkreis</v>
      </c>
      <c r="D3" s="150"/>
      <c r="E3" s="71" t="s">
        <v>45</v>
      </c>
      <c r="F3" s="72"/>
      <c r="H3" s="297"/>
    </row>
    <row r="4" spans="1:8" ht="15.75" thickBot="1" x14ac:dyDescent="0.3">
      <c r="A4" s="298"/>
      <c r="B4" s="147"/>
      <c r="C4" s="147"/>
      <c r="D4" s="147"/>
      <c r="E4" s="147"/>
      <c r="F4" s="299"/>
      <c r="H4" s="297"/>
    </row>
    <row r="5" spans="1:8" ht="74.25" customHeight="1" thickBot="1" x14ac:dyDescent="0.3">
      <c r="A5" s="958" t="s">
        <v>491</v>
      </c>
      <c r="B5" s="967"/>
      <c r="C5" s="967"/>
      <c r="D5" s="967"/>
      <c r="E5" s="967"/>
      <c r="F5" s="968"/>
      <c r="H5" s="297"/>
    </row>
    <row r="6" spans="1:8" x14ac:dyDescent="0.25">
      <c r="A6" s="971" t="s">
        <v>471</v>
      </c>
      <c r="B6" s="977" t="s">
        <v>474</v>
      </c>
      <c r="C6" s="978"/>
      <c r="D6" s="969" t="s">
        <v>86</v>
      </c>
      <c r="E6" s="902"/>
      <c r="F6" s="916"/>
      <c r="G6" s="85" t="str">
        <f>+IF(AND(D6="x",D8="x"),"Bitte wählen Sie ENTWEDER Berechnung mit Ist-Kosten ODER die Verwendung des bisherigen IK-Satzes!","")</f>
        <v/>
      </c>
      <c r="H6" s="297"/>
    </row>
    <row r="7" spans="1:8" ht="15.75" thickBot="1" x14ac:dyDescent="0.3">
      <c r="A7" s="972"/>
      <c r="B7" s="905"/>
      <c r="C7" s="898" t="s">
        <v>475</v>
      </c>
      <c r="D7" s="970"/>
      <c r="E7" s="917"/>
      <c r="F7" s="918"/>
      <c r="H7" s="297"/>
    </row>
    <row r="8" spans="1:8" ht="29.25" customHeight="1" x14ac:dyDescent="0.25">
      <c r="A8" s="973"/>
      <c r="B8" s="979" t="s">
        <v>473</v>
      </c>
      <c r="C8" s="978"/>
      <c r="D8" s="969"/>
      <c r="E8" s="427" t="str">
        <f>IF(D8="x","bisherigen IK-Satz","")</f>
        <v/>
      </c>
      <c r="F8" s="975"/>
      <c r="H8" s="297"/>
    </row>
    <row r="9" spans="1:8" ht="15.75" thickBot="1" x14ac:dyDescent="0.3">
      <c r="A9" s="974"/>
      <c r="B9" s="905"/>
      <c r="C9" s="898" t="s">
        <v>476</v>
      </c>
      <c r="D9" s="970"/>
      <c r="E9" s="428" t="str">
        <f>IF(D8="x","hier eintragen =&gt;","")</f>
        <v/>
      </c>
      <c r="F9" s="976"/>
      <c r="H9" s="297"/>
    </row>
    <row r="10" spans="1:8" ht="15.75" thickBot="1" x14ac:dyDescent="0.3">
      <c r="A10" s="298"/>
      <c r="B10" s="147"/>
      <c r="C10" s="147"/>
      <c r="D10" s="147"/>
      <c r="E10" s="147"/>
      <c r="F10" s="678" t="str">
        <f>IF(AND(D6="x",F8&gt;0),"Der bisherige IK-Satz ist nur einzutragen, wenn eine Berechnung auf dieser Basis erfolgen soll. Ggfs. bitte X in Feld D8 eintragen.","")</f>
        <v/>
      </c>
      <c r="H10" s="297"/>
    </row>
    <row r="11" spans="1:8" ht="122.25" customHeight="1" thickBot="1" x14ac:dyDescent="0.3">
      <c r="A11" s="980" t="s">
        <v>501</v>
      </c>
      <c r="B11" s="967"/>
      <c r="C11" s="967"/>
      <c r="D11" s="967"/>
      <c r="E11" s="967"/>
      <c r="F11" s="968"/>
      <c r="G11" s="676" t="str">
        <f>+IF(AND(D8="x",D12="x"),"Achtung: diese Auswahl-Möglichkeit haben Sie nur bei Rechnung mit Ist-Kosten!","")</f>
        <v/>
      </c>
      <c r="H11" s="297"/>
    </row>
    <row r="12" spans="1:8" ht="44.25" customHeight="1" thickBot="1" x14ac:dyDescent="0.3">
      <c r="A12" s="971" t="s">
        <v>471</v>
      </c>
      <c r="B12" s="981" t="s">
        <v>493</v>
      </c>
      <c r="C12" s="978"/>
      <c r="D12" s="982" t="s">
        <v>86</v>
      </c>
      <c r="E12" s="908" t="str">
        <f>+IF(D12="x","Anteil persönl.
Wohnfläche","")</f>
        <v>Anteil persönl.
Wohnfläche</v>
      </c>
      <c r="F12" s="909">
        <f>+IF(D12="x",'A Flächen'!E174,"")</f>
        <v>0.81160776118677636</v>
      </c>
      <c r="G12" s="676" t="str">
        <f>+IF(AND(D12="x",D14="x"),"Bitte wählen Sie ENTWEDER Kosten nur für Heimbereich ODER die Kosten für Gesamtgebäude inkl. freier Flächen!","")</f>
        <v/>
      </c>
      <c r="H12" s="297"/>
    </row>
    <row r="13" spans="1:8" ht="31.5" customHeight="1" thickBot="1" x14ac:dyDescent="0.3">
      <c r="A13" s="972"/>
      <c r="B13" s="905"/>
      <c r="C13" s="898" t="s">
        <v>489</v>
      </c>
      <c r="D13" s="983"/>
      <c r="E13" s="910" t="str">
        <f>+IF(D12="x","Anteil Fachleist.
Fläche","")</f>
        <v>Anteil Fachleist.
Fläche</v>
      </c>
      <c r="F13" s="911">
        <f>+IF(D12="x",'A Flächen'!E175,"")</f>
        <v>0.18839223881322367</v>
      </c>
      <c r="G13" s="676" t="str">
        <f>+IF(AND(D12="",D14="",D6="x"),"Bitte wählen Sie ENTWEDER Kosten nur Heimbereich ODER Kosten für Gesamtgebäude inkl. freier Flächen!","")</f>
        <v/>
      </c>
      <c r="H13" s="297"/>
    </row>
    <row r="14" spans="1:8" ht="47.25" customHeight="1" thickBot="1" x14ac:dyDescent="0.3">
      <c r="A14" s="973"/>
      <c r="B14" s="984" t="s">
        <v>494</v>
      </c>
      <c r="C14" s="978"/>
      <c r="D14" s="982"/>
      <c r="E14" s="912" t="str">
        <f>+IF(D14="x","Anteil persönl.
Wohnfläche","")</f>
        <v/>
      </c>
      <c r="F14" s="913" t="str">
        <f>+IF(D14="x",'A Flächen'!E169,"")</f>
        <v/>
      </c>
      <c r="G14" s="934"/>
      <c r="H14" s="297"/>
    </row>
    <row r="15" spans="1:8" ht="30.75" customHeight="1" thickBot="1" x14ac:dyDescent="0.3">
      <c r="A15" s="974"/>
      <c r="B15" s="905"/>
      <c r="C15" s="898" t="s">
        <v>492</v>
      </c>
      <c r="D15" s="983"/>
      <c r="E15" s="914" t="str">
        <f>+IF(D14="x","Anteil Fachleist.
Fläche","")</f>
        <v/>
      </c>
      <c r="F15" s="915" t="str">
        <f>+IF(D14="x",'A Flächen'!E170,"")</f>
        <v/>
      </c>
      <c r="G15" s="934"/>
      <c r="H15" s="297"/>
    </row>
    <row r="16" spans="1:8" x14ac:dyDescent="0.25">
      <c r="A16" s="298"/>
      <c r="B16" s="147"/>
      <c r="C16" s="147"/>
      <c r="D16" s="147"/>
      <c r="E16" s="147"/>
      <c r="F16" s="678"/>
      <c r="G16" s="676" t="str">
        <f>+IF(AND(D8="x",D14="x"),"Achtung: diese Auswahl-Möglichkeit haben Sie nur bei Rechnung mit Ist-Kosten!","")</f>
        <v/>
      </c>
      <c r="H16" s="297"/>
    </row>
    <row r="17" spans="1:9" ht="21" x14ac:dyDescent="0.35">
      <c r="A17" s="300" t="s">
        <v>490</v>
      </c>
      <c r="B17" s="301"/>
      <c r="C17" s="302"/>
      <c r="D17" s="303"/>
      <c r="E17" s="147"/>
      <c r="F17" s="299"/>
      <c r="H17" s="304"/>
    </row>
    <row r="18" spans="1:9" ht="15.75" x14ac:dyDescent="0.25">
      <c r="A18" s="74"/>
      <c r="B18" s="305"/>
      <c r="C18" s="306"/>
      <c r="D18" s="101" t="s">
        <v>188</v>
      </c>
      <c r="E18" s="147"/>
      <c r="F18" s="299"/>
    </row>
    <row r="19" spans="1:9" x14ac:dyDescent="0.25">
      <c r="A19" s="307" t="s">
        <v>63</v>
      </c>
      <c r="B19" s="308"/>
      <c r="C19" s="308"/>
      <c r="D19" s="309"/>
      <c r="E19" s="147"/>
      <c r="F19" s="299"/>
    </row>
    <row r="20" spans="1:9" x14ac:dyDescent="0.25">
      <c r="A20" s="76" t="s">
        <v>64</v>
      </c>
      <c r="B20" s="88" t="s">
        <v>65</v>
      </c>
      <c r="C20" s="88"/>
      <c r="D20" s="310">
        <v>275000</v>
      </c>
      <c r="E20" s="147"/>
      <c r="F20" s="311"/>
      <c r="H20" s="97"/>
      <c r="I20" s="97"/>
    </row>
    <row r="21" spans="1:9" x14ac:dyDescent="0.25">
      <c r="A21" s="76" t="s">
        <v>66</v>
      </c>
      <c r="B21" s="88" t="s">
        <v>67</v>
      </c>
      <c r="C21" s="88"/>
      <c r="D21" s="310">
        <v>15782</v>
      </c>
      <c r="E21" s="147"/>
      <c r="F21" s="311"/>
      <c r="H21" s="97"/>
      <c r="I21" s="97"/>
    </row>
    <row r="22" spans="1:9" x14ac:dyDescent="0.25">
      <c r="A22" s="76" t="s">
        <v>68</v>
      </c>
      <c r="B22" s="88" t="s">
        <v>69</v>
      </c>
      <c r="C22" s="88"/>
      <c r="D22" s="310">
        <v>1537258</v>
      </c>
      <c r="E22" s="147"/>
      <c r="F22" s="311"/>
      <c r="H22" s="97"/>
      <c r="I22" s="97"/>
    </row>
    <row r="23" spans="1:9" x14ac:dyDescent="0.25">
      <c r="A23" s="312" t="s">
        <v>70</v>
      </c>
      <c r="B23" s="313" t="s">
        <v>71</v>
      </c>
      <c r="C23" s="314"/>
      <c r="D23" s="310">
        <v>829657</v>
      </c>
      <c r="E23" s="295"/>
      <c r="F23" s="311"/>
      <c r="H23" s="97"/>
      <c r="I23" s="97"/>
    </row>
    <row r="24" spans="1:9" x14ac:dyDescent="0.25">
      <c r="A24" s="312" t="s">
        <v>72</v>
      </c>
      <c r="B24" s="313" t="s">
        <v>73</v>
      </c>
      <c r="C24" s="314"/>
      <c r="D24" s="310">
        <v>128957</v>
      </c>
      <c r="E24" s="295"/>
      <c r="F24" s="311"/>
      <c r="H24" s="97"/>
      <c r="I24" s="97"/>
    </row>
    <row r="25" spans="1:9" x14ac:dyDescent="0.25">
      <c r="A25" s="76" t="s">
        <v>74</v>
      </c>
      <c r="B25" s="88" t="s">
        <v>75</v>
      </c>
      <c r="C25" s="88"/>
      <c r="D25" s="315"/>
      <c r="E25" s="147"/>
      <c r="F25" s="311"/>
      <c r="H25" s="316"/>
      <c r="I25" s="97"/>
    </row>
    <row r="26" spans="1:9" x14ac:dyDescent="0.25">
      <c r="A26" s="76" t="s">
        <v>125</v>
      </c>
      <c r="B26" s="88" t="s">
        <v>482</v>
      </c>
      <c r="C26" s="88"/>
      <c r="D26" s="317">
        <v>394658</v>
      </c>
      <c r="E26" s="430">
        <f>+D26/(D22+D23+D24)</f>
        <v>0.15812429483563259</v>
      </c>
      <c r="F26" s="311"/>
      <c r="G26" s="899" t="str">
        <f>+IF(E26&gt;22%,"KG 700 &gt; 22% der KG300-500. Bitte erläutern Sie die Höhe der Baunebenkosten auf einem Beiblatt.","")</f>
        <v/>
      </c>
      <c r="H26" s="97"/>
      <c r="I26" s="97"/>
    </row>
    <row r="27" spans="1:9" ht="15.75" x14ac:dyDescent="0.25">
      <c r="A27" s="318" t="s">
        <v>76</v>
      </c>
      <c r="B27" s="319"/>
      <c r="C27" s="320"/>
      <c r="D27" s="429">
        <f>SUM(D20:D26)</f>
        <v>3181312</v>
      </c>
      <c r="E27" s="147"/>
      <c r="F27" s="299"/>
      <c r="H27" s="431">
        <f>IF(D6="x",D27-D25-D20,"")</f>
        <v>2906312</v>
      </c>
      <c r="I27" s="432" t="str">
        <f>IF(D6="x","ohne Ausstatt., ohne Grdstk","")</f>
        <v>ohne Ausstatt., ohne Grdstk</v>
      </c>
    </row>
    <row r="28" spans="1:9" ht="15.75" x14ac:dyDescent="0.25">
      <c r="A28" s="323"/>
      <c r="B28" s="305"/>
      <c r="C28" s="306"/>
      <c r="D28" s="324"/>
      <c r="E28" s="147"/>
      <c r="F28" s="299"/>
      <c r="H28" s="431">
        <f>IF(D6="x",H27/Stammdaten!B7,"")</f>
        <v>121096.33333333333</v>
      </c>
      <c r="I28" s="140" t="str">
        <f>IF(D6="x","Baukosten pro Platz","")</f>
        <v>Baukosten pro Platz</v>
      </c>
    </row>
    <row r="29" spans="1:9" ht="15.75" x14ac:dyDescent="0.25">
      <c r="A29" s="318" t="s">
        <v>126</v>
      </c>
      <c r="B29" s="319"/>
      <c r="C29" s="320"/>
      <c r="D29" s="325"/>
      <c r="E29" s="147"/>
      <c r="F29" s="299"/>
      <c r="H29" s="97"/>
      <c r="I29" s="97"/>
    </row>
    <row r="30" spans="1:9" x14ac:dyDescent="0.25">
      <c r="A30" s="76"/>
      <c r="B30" s="88"/>
      <c r="C30" s="326"/>
      <c r="D30" s="327"/>
      <c r="E30" s="147"/>
      <c r="F30" s="299"/>
      <c r="H30" s="316"/>
    </row>
    <row r="31" spans="1:9" x14ac:dyDescent="0.25">
      <c r="A31" s="76" t="str">
        <f t="shared" ref="A31:B33" si="0">A22</f>
        <v>Kostengruppe 300</v>
      </c>
      <c r="B31" s="88" t="str">
        <f t="shared" si="0"/>
        <v>Bauwerk - Baukonstruktion</v>
      </c>
      <c r="C31" s="433">
        <f>+D31/(D31+D32+D33)</f>
        <v>0.61592020744653575</v>
      </c>
      <c r="D31" s="434">
        <f>+D22+D26*(D22/(D22+D23+D24))</f>
        <v>1780335.8372304349</v>
      </c>
      <c r="E31" s="329"/>
      <c r="F31" s="299"/>
      <c r="H31" s="316"/>
      <c r="I31" s="97"/>
    </row>
    <row r="32" spans="1:9" x14ac:dyDescent="0.25">
      <c r="A32" s="76" t="str">
        <f t="shared" si="0"/>
        <v>Kostengruppe 400</v>
      </c>
      <c r="B32" s="313" t="str">
        <f t="shared" si="0"/>
        <v>Bauwerk - Technische Anlagen</v>
      </c>
      <c r="C32" s="433">
        <f>+D32/(D31+D32+D33)</f>
        <v>0.33241167816298273</v>
      </c>
      <c r="D32" s="434">
        <f>+D23+D26*(D23/(D22+D23+D24))</f>
        <v>960845.92808044644</v>
      </c>
      <c r="E32" s="295"/>
      <c r="F32" s="299"/>
      <c r="H32" s="97"/>
      <c r="I32" s="97"/>
    </row>
    <row r="33" spans="1:9" x14ac:dyDescent="0.25">
      <c r="A33" s="76" t="str">
        <f t="shared" si="0"/>
        <v>Kostengruppe 500</v>
      </c>
      <c r="B33" s="313" t="str">
        <f t="shared" si="0"/>
        <v>Außenanlagen</v>
      </c>
      <c r="C33" s="433">
        <f>+D33/(D31+D32+D33)</f>
        <v>5.1668114390481558E-2</v>
      </c>
      <c r="D33" s="435">
        <f>+D24+D26*(D24/(D22+D23+D24))</f>
        <v>149348.23468911866</v>
      </c>
      <c r="E33" s="295"/>
      <c r="F33" s="299"/>
      <c r="H33" s="97"/>
      <c r="I33" s="97"/>
    </row>
    <row r="34" spans="1:9" ht="15.75" x14ac:dyDescent="0.25">
      <c r="A34" s="318" t="s">
        <v>136</v>
      </c>
      <c r="B34" s="319"/>
      <c r="C34" s="436">
        <f>SUM(C30:C33)-C30</f>
        <v>1</v>
      </c>
      <c r="D34" s="437">
        <f>SUM(D30:D33)</f>
        <v>2890530</v>
      </c>
      <c r="E34" s="147"/>
      <c r="F34" s="299"/>
      <c r="H34" s="141" t="str">
        <f>IF(D6="x","Kontrolle","")</f>
        <v>Kontrolle</v>
      </c>
      <c r="I34" s="266">
        <f>IF(D6="x",D22+D23+D24+D26-D34,"")</f>
        <v>0</v>
      </c>
    </row>
    <row r="35" spans="1:9" ht="15.75" x14ac:dyDescent="0.25">
      <c r="A35" s="330"/>
      <c r="B35" s="331"/>
      <c r="C35" s="332"/>
      <c r="D35" s="333"/>
      <c r="E35" s="147"/>
      <c r="F35" s="311"/>
      <c r="H35" s="111"/>
      <c r="I35" s="97"/>
    </row>
    <row r="36" spans="1:9" ht="15.75" x14ac:dyDescent="0.25">
      <c r="A36" s="318" t="s">
        <v>77</v>
      </c>
      <c r="B36" s="319"/>
      <c r="C36" s="320"/>
      <c r="D36" s="325"/>
      <c r="E36" s="147"/>
      <c r="F36" s="311"/>
      <c r="H36" s="97"/>
      <c r="I36" s="97"/>
    </row>
    <row r="37" spans="1:9" x14ac:dyDescent="0.25">
      <c r="A37" s="76" t="str">
        <f>A21</f>
        <v>Kostengruppe 200</v>
      </c>
      <c r="B37" s="88" t="str">
        <f>B21</f>
        <v>Herrichten und Erschließen</v>
      </c>
      <c r="C37" s="326"/>
      <c r="D37" s="328"/>
      <c r="E37" s="147"/>
      <c r="F37" s="311"/>
      <c r="H37" s="97"/>
      <c r="I37" s="97"/>
    </row>
    <row r="38" spans="1:9" x14ac:dyDescent="0.25">
      <c r="A38" s="76" t="str">
        <f>A31</f>
        <v>Kostengruppe 300</v>
      </c>
      <c r="B38" s="88" t="str">
        <f>B22</f>
        <v>Bauwerk - Baukonstruktion</v>
      </c>
      <c r="C38" s="433">
        <f>C31</f>
        <v>0.61592020744653575</v>
      </c>
      <c r="D38" s="438">
        <f>+C38*D41</f>
        <v>523532.1763295554</v>
      </c>
      <c r="E38" s="329"/>
      <c r="F38" s="335"/>
      <c r="H38" s="322"/>
      <c r="I38" s="97"/>
    </row>
    <row r="39" spans="1:9" x14ac:dyDescent="0.25">
      <c r="A39" s="312" t="str">
        <f>A32</f>
        <v>Kostengruppe 400</v>
      </c>
      <c r="B39" s="88" t="str">
        <f>B23</f>
        <v>Bauwerk - Technische Anlagen</v>
      </c>
      <c r="C39" s="433">
        <f>C32</f>
        <v>0.33241167816298273</v>
      </c>
      <c r="D39" s="438">
        <f>+C39*$D$41</f>
        <v>282549.92643853533</v>
      </c>
      <c r="E39" s="295"/>
      <c r="F39" s="335"/>
      <c r="H39" s="322"/>
      <c r="I39" s="97"/>
    </row>
    <row r="40" spans="1:9" x14ac:dyDescent="0.25">
      <c r="A40" s="312" t="str">
        <f>A33</f>
        <v>Kostengruppe 500</v>
      </c>
      <c r="B40" s="88" t="str">
        <f>B24</f>
        <v>Außenanlagen</v>
      </c>
      <c r="C40" s="433">
        <f>C33</f>
        <v>5.1668114390481558E-2</v>
      </c>
      <c r="D40" s="438">
        <f>+C40*$D$41</f>
        <v>43917.897231909323</v>
      </c>
      <c r="E40" s="295"/>
      <c r="F40" s="335"/>
      <c r="H40" s="322"/>
      <c r="I40" s="97"/>
    </row>
    <row r="41" spans="1:9" ht="15.75" x14ac:dyDescent="0.25">
      <c r="A41" s="318" t="s">
        <v>78</v>
      </c>
      <c r="B41" s="319"/>
      <c r="C41" s="439">
        <f>SUM(C37:C40)-C38</f>
        <v>0.38407979255346425</v>
      </c>
      <c r="D41" s="437">
        <f>+B76</f>
        <v>850000</v>
      </c>
      <c r="E41" s="147"/>
      <c r="F41" s="336"/>
      <c r="H41" s="337"/>
      <c r="I41" s="97"/>
    </row>
    <row r="42" spans="1:9" x14ac:dyDescent="0.25">
      <c r="A42" s="338"/>
      <c r="B42" s="148"/>
      <c r="C42" s="339"/>
      <c r="D42" s="340"/>
      <c r="E42" s="147"/>
      <c r="F42" s="299"/>
    </row>
    <row r="43" spans="1:9" ht="15.75" x14ac:dyDescent="0.25">
      <c r="A43" s="341" t="s">
        <v>79</v>
      </c>
      <c r="B43" s="319"/>
      <c r="C43" s="320"/>
      <c r="D43" s="342"/>
      <c r="E43" s="147"/>
      <c r="F43" s="299"/>
    </row>
    <row r="44" spans="1:9" x14ac:dyDescent="0.25">
      <c r="A44" s="76" t="str">
        <f t="shared" ref="A44:A47" si="1">A37</f>
        <v>Kostengruppe 200</v>
      </c>
      <c r="B44" s="88" t="str">
        <f>B21</f>
        <v>Herrichten und Erschließen</v>
      </c>
      <c r="C44" s="433">
        <f>+IF(Stammdaten!B8=0,2%,IF(Stammdaten!B8&lt;1995,2.45%,2%))</f>
        <v>0.02</v>
      </c>
      <c r="D44" s="434">
        <f>(D21-D37)*C44</f>
        <v>315.64</v>
      </c>
      <c r="E44" s="677" t="str">
        <f>+IF(Stammdaten!B8="","Bitte Stammdaten Feld B8 ausfüllen!","")</f>
        <v/>
      </c>
      <c r="F44" s="299"/>
    </row>
    <row r="45" spans="1:9" x14ac:dyDescent="0.25">
      <c r="A45" s="76" t="str">
        <f t="shared" si="1"/>
        <v>Kostengruppe 300</v>
      </c>
      <c r="B45" s="88" t="str">
        <f t="shared" ref="B45:B47" si="2">B22</f>
        <v>Bauwerk - Baukonstruktion</v>
      </c>
      <c r="C45" s="433">
        <f>+IF(Stammdaten!B8=0,2%,IF(Stammdaten!B8&lt;1995,2.45%,2%))</f>
        <v>0.02</v>
      </c>
      <c r="D45" s="434">
        <f>(D31-D38)*C45</f>
        <v>25136.073218017587</v>
      </c>
      <c r="E45" s="677" t="str">
        <f>+IF(Stammdaten!B8="","Bitte Stammdaten Feld B8 ausfüllen!","")</f>
        <v/>
      </c>
      <c r="F45" s="299"/>
    </row>
    <row r="46" spans="1:9" x14ac:dyDescent="0.25">
      <c r="A46" s="312" t="str">
        <f t="shared" si="1"/>
        <v>Kostengruppe 400</v>
      </c>
      <c r="B46" s="88" t="str">
        <f t="shared" si="2"/>
        <v>Bauwerk - Technische Anlagen</v>
      </c>
      <c r="C46" s="433">
        <f>+IF(Stammdaten!B8=0,6.7%,IF(Stammdaten!B8&lt;1995,2.45%,6.7%))</f>
        <v>6.7000000000000004E-2</v>
      </c>
      <c r="D46" s="434">
        <f>(D32-D39)*C46</f>
        <v>45445.83211000805</v>
      </c>
      <c r="E46" s="677" t="str">
        <f>+IF(Stammdaten!B8="","Bitte Stammdaten Feld B8 ausfüllen!","")</f>
        <v/>
      </c>
      <c r="F46" s="343"/>
      <c r="H46" s="344"/>
    </row>
    <row r="47" spans="1:9" x14ac:dyDescent="0.25">
      <c r="A47" s="312" t="str">
        <f t="shared" si="1"/>
        <v>Kostengruppe 500</v>
      </c>
      <c r="B47" s="88" t="str">
        <f t="shared" si="2"/>
        <v>Außenanlagen</v>
      </c>
      <c r="C47" s="433">
        <f>+IF(Stammdaten!B8=0,4%,IF(Stammdaten!B8&lt;1995,2.45%,4%))</f>
        <v>0.04</v>
      </c>
      <c r="D47" s="434">
        <f>(D33-D40)*C47</f>
        <v>4217.2134982883736</v>
      </c>
      <c r="E47" s="677" t="str">
        <f>+IF(Stammdaten!B8="","Bitte Stammdaten Feld B8 ausfüllen!","")</f>
        <v/>
      </c>
      <c r="F47" s="345"/>
      <c r="H47" s="344"/>
    </row>
    <row r="48" spans="1:9" x14ac:dyDescent="0.25">
      <c r="A48" s="346"/>
      <c r="B48" s="308"/>
      <c r="C48" s="320"/>
      <c r="D48" s="347"/>
      <c r="E48" s="147"/>
      <c r="F48" s="299"/>
    </row>
    <row r="49" spans="1:6" x14ac:dyDescent="0.25">
      <c r="A49" s="348" t="str">
        <f>A25</f>
        <v>Kostengruppe 600</v>
      </c>
      <c r="B49" s="147" t="str">
        <f>B25</f>
        <v>Ausstattung</v>
      </c>
      <c r="C49" s="440">
        <v>0.125</v>
      </c>
      <c r="D49" s="441">
        <f>D25*C49</f>
        <v>0</v>
      </c>
      <c r="E49" s="147"/>
      <c r="F49" s="299"/>
    </row>
    <row r="50" spans="1:6" x14ac:dyDescent="0.25">
      <c r="A50" s="307" t="s">
        <v>80</v>
      </c>
      <c r="B50" s="308"/>
      <c r="C50" s="320"/>
      <c r="D50" s="437">
        <f>SUM(D44:D49)</f>
        <v>75114.758826314006</v>
      </c>
      <c r="E50" s="147"/>
      <c r="F50" s="299"/>
    </row>
    <row r="51" spans="1:6" ht="15.75" x14ac:dyDescent="0.25">
      <c r="A51" s="318" t="s">
        <v>81</v>
      </c>
      <c r="B51" s="319"/>
      <c r="C51" s="320"/>
      <c r="D51" s="437">
        <f>SUM(D44:D47)</f>
        <v>75114.758826314006</v>
      </c>
      <c r="E51" s="147"/>
      <c r="F51" s="299"/>
    </row>
    <row r="52" spans="1:6" x14ac:dyDescent="0.25">
      <c r="A52" s="74"/>
      <c r="B52" s="147"/>
      <c r="C52" s="295"/>
      <c r="D52" s="349"/>
      <c r="E52" s="147"/>
      <c r="F52" s="299"/>
    </row>
    <row r="53" spans="1:6" x14ac:dyDescent="0.25">
      <c r="A53" s="350" t="s">
        <v>82</v>
      </c>
      <c r="B53" s="88"/>
      <c r="C53" s="295"/>
      <c r="D53" s="349"/>
      <c r="E53" s="147"/>
      <c r="F53" s="299"/>
    </row>
    <row r="54" spans="1:6" x14ac:dyDescent="0.25">
      <c r="A54" s="74"/>
      <c r="B54" s="351" t="s">
        <v>83</v>
      </c>
      <c r="C54" s="352"/>
      <c r="D54" s="434">
        <f>SUM(D44:D47)</f>
        <v>75114.758826314006</v>
      </c>
      <c r="E54" s="147"/>
      <c r="F54" s="299"/>
    </row>
    <row r="55" spans="1:6" x14ac:dyDescent="0.25">
      <c r="A55" s="74"/>
      <c r="B55" s="351" t="s">
        <v>84</v>
      </c>
      <c r="C55" s="352"/>
      <c r="D55" s="434">
        <f>SUM(D21:D26)-SUM(D37:D40)</f>
        <v>2056312</v>
      </c>
      <c r="E55" s="147"/>
      <c r="F55" s="299"/>
    </row>
    <row r="56" spans="1:6" x14ac:dyDescent="0.25">
      <c r="A56" s="74"/>
      <c r="B56" s="108" t="s">
        <v>85</v>
      </c>
      <c r="C56" s="353"/>
      <c r="D56" s="442">
        <f>D54/D55</f>
        <v>3.6528872479620798E-2</v>
      </c>
      <c r="E56" s="147"/>
      <c r="F56" s="299"/>
    </row>
    <row r="57" spans="1:6" x14ac:dyDescent="0.25">
      <c r="A57" s="74"/>
      <c r="B57" s="147"/>
      <c r="C57" s="295"/>
      <c r="D57" s="354"/>
      <c r="E57" s="147"/>
      <c r="F57" s="299"/>
    </row>
    <row r="58" spans="1:6" ht="15.75" x14ac:dyDescent="0.25">
      <c r="A58" s="341" t="s">
        <v>87</v>
      </c>
      <c r="B58" s="319"/>
      <c r="C58" s="320"/>
      <c r="D58" s="325"/>
      <c r="E58" s="147"/>
      <c r="F58" s="299"/>
    </row>
    <row r="59" spans="1:6" x14ac:dyDescent="0.25">
      <c r="A59" s="352"/>
      <c r="B59" s="355" t="s">
        <v>88</v>
      </c>
      <c r="C59" s="356"/>
      <c r="D59" s="443">
        <f>D27-D20</f>
        <v>2906312</v>
      </c>
      <c r="E59" s="147"/>
      <c r="F59" s="299"/>
    </row>
    <row r="60" spans="1:6" x14ac:dyDescent="0.25">
      <c r="A60" s="357" t="s">
        <v>86</v>
      </c>
      <c r="B60" s="355" t="s">
        <v>89</v>
      </c>
      <c r="C60" s="358"/>
      <c r="D60" s="444">
        <v>8.0000000000000002E-3</v>
      </c>
      <c r="E60" s="147"/>
      <c r="F60" s="299"/>
    </row>
    <row r="61" spans="1:6" ht="15.75" x14ac:dyDescent="0.25">
      <c r="A61" s="318" t="s">
        <v>90</v>
      </c>
      <c r="B61" s="319"/>
      <c r="C61" s="320"/>
      <c r="D61" s="437">
        <f>D59*D60</f>
        <v>23250.495999999999</v>
      </c>
      <c r="E61" s="147"/>
      <c r="F61" s="299"/>
    </row>
    <row r="62" spans="1:6" x14ac:dyDescent="0.25">
      <c r="A62" s="74"/>
      <c r="B62" s="147"/>
      <c r="C62" s="295"/>
      <c r="D62" s="354"/>
      <c r="E62" s="147"/>
      <c r="F62" s="299"/>
    </row>
    <row r="63" spans="1:6" ht="15.75" x14ac:dyDescent="0.25">
      <c r="A63" s="341" t="s">
        <v>251</v>
      </c>
      <c r="B63" s="319"/>
      <c r="C63" s="320"/>
      <c r="D63" s="325"/>
      <c r="E63" s="147"/>
      <c r="F63" s="299"/>
    </row>
    <row r="64" spans="1:6" x14ac:dyDescent="0.25">
      <c r="A64" s="359" t="s">
        <v>91</v>
      </c>
      <c r="B64" s="360"/>
      <c r="C64" s="361"/>
      <c r="D64" s="362"/>
      <c r="E64" s="147"/>
      <c r="F64" s="299"/>
    </row>
    <row r="65" spans="1:6" x14ac:dyDescent="0.25">
      <c r="A65" s="359" t="s">
        <v>92</v>
      </c>
      <c r="B65" s="360"/>
      <c r="C65" s="361"/>
      <c r="D65" s="362"/>
      <c r="E65" s="147"/>
      <c r="F65" s="299"/>
    </row>
    <row r="66" spans="1:6" x14ac:dyDescent="0.25">
      <c r="A66" s="359" t="s">
        <v>93</v>
      </c>
      <c r="B66" s="360"/>
      <c r="C66" s="363"/>
      <c r="D66" s="362"/>
      <c r="E66" s="147"/>
      <c r="F66" s="299"/>
    </row>
    <row r="67" spans="1:6" ht="15.75" x14ac:dyDescent="0.25">
      <c r="A67" s="341" t="s">
        <v>95</v>
      </c>
      <c r="B67" s="319"/>
      <c r="C67" s="320"/>
      <c r="D67" s="437">
        <f>+SUM(D64:D66)</f>
        <v>0</v>
      </c>
      <c r="E67" s="147"/>
      <c r="F67" s="299"/>
    </row>
    <row r="68" spans="1:6" x14ac:dyDescent="0.25">
      <c r="A68" s="74"/>
      <c r="B68" s="147"/>
      <c r="C68" s="295"/>
      <c r="D68" s="354"/>
      <c r="E68" s="147"/>
      <c r="F68" s="299"/>
    </row>
    <row r="69" spans="1:6" x14ac:dyDescent="0.25">
      <c r="A69" s="74"/>
      <c r="B69" s="147"/>
      <c r="C69" s="295"/>
      <c r="D69" s="354"/>
      <c r="E69" s="147"/>
      <c r="F69" s="299"/>
    </row>
    <row r="70" spans="1:6" ht="15.75" x14ac:dyDescent="0.25">
      <c r="A70" s="341" t="s">
        <v>96</v>
      </c>
      <c r="B70" s="319"/>
      <c r="C70" s="320"/>
      <c r="D70" s="364"/>
      <c r="E70" s="147"/>
      <c r="F70" s="299"/>
    </row>
    <row r="71" spans="1:6" x14ac:dyDescent="0.25">
      <c r="A71" s="365" t="s">
        <v>78</v>
      </c>
      <c r="B71" s="101" t="s">
        <v>191</v>
      </c>
      <c r="C71" s="366"/>
      <c r="D71" s="367"/>
      <c r="E71" s="147"/>
      <c r="F71" s="368"/>
    </row>
    <row r="72" spans="1:6" x14ac:dyDescent="0.25">
      <c r="A72" s="369" t="s">
        <v>405</v>
      </c>
      <c r="B72" s="370">
        <v>850000</v>
      </c>
      <c r="C72" s="371"/>
      <c r="D72" s="372"/>
      <c r="E72" s="147"/>
      <c r="F72" s="373"/>
    </row>
    <row r="73" spans="1:6" x14ac:dyDescent="0.25">
      <c r="A73" s="369" t="s">
        <v>92</v>
      </c>
      <c r="B73" s="370"/>
      <c r="C73" s="371"/>
      <c r="D73" s="372"/>
      <c r="E73" s="147"/>
      <c r="F73" s="299"/>
    </row>
    <row r="74" spans="1:6" x14ac:dyDescent="0.25">
      <c r="A74" s="369" t="s">
        <v>93</v>
      </c>
      <c r="B74" s="370"/>
      <c r="C74" s="371"/>
      <c r="D74" s="372"/>
      <c r="E74" s="147"/>
      <c r="F74" s="299"/>
    </row>
    <row r="75" spans="1:6" x14ac:dyDescent="0.25">
      <c r="A75" s="369" t="s">
        <v>105</v>
      </c>
      <c r="B75" s="370"/>
      <c r="C75" s="374"/>
      <c r="D75" s="372"/>
      <c r="E75" s="147"/>
      <c r="F75" s="299"/>
    </row>
    <row r="76" spans="1:6" x14ac:dyDescent="0.25">
      <c r="A76" s="375" t="s">
        <v>78</v>
      </c>
      <c r="B76" s="445">
        <f>SUM(B72:B75)</f>
        <v>850000</v>
      </c>
      <c r="C76" s="371"/>
      <c r="D76" s="372"/>
      <c r="E76" s="147"/>
      <c r="F76" s="299"/>
    </row>
    <row r="77" spans="1:6" x14ac:dyDescent="0.25">
      <c r="A77" s="74"/>
      <c r="B77" s="376"/>
      <c r="C77" s="295"/>
      <c r="D77" s="377"/>
      <c r="E77" s="147"/>
      <c r="F77" s="299"/>
    </row>
    <row r="78" spans="1:6" x14ac:dyDescent="0.25">
      <c r="A78" s="365" t="s">
        <v>97</v>
      </c>
      <c r="B78" s="101" t="s">
        <v>191</v>
      </c>
      <c r="C78" s="378" t="s">
        <v>185</v>
      </c>
      <c r="D78" s="367"/>
      <c r="E78" s="147"/>
      <c r="F78" s="299"/>
    </row>
    <row r="79" spans="1:6" x14ac:dyDescent="0.25">
      <c r="A79" s="379" t="s">
        <v>103</v>
      </c>
      <c r="B79" s="310">
        <v>1300000</v>
      </c>
      <c r="C79" s="380">
        <v>1.2999999999999999E-2</v>
      </c>
      <c r="D79" s="450">
        <f>B79*C79</f>
        <v>16900</v>
      </c>
      <c r="E79" s="147"/>
      <c r="F79" s="299"/>
    </row>
    <row r="80" spans="1:6" x14ac:dyDescent="0.25">
      <c r="A80" s="379" t="s">
        <v>104</v>
      </c>
      <c r="B80" s="310"/>
      <c r="C80" s="380"/>
      <c r="D80" s="450">
        <f>B80*C80</f>
        <v>0</v>
      </c>
      <c r="E80" s="147"/>
      <c r="F80" s="299"/>
    </row>
    <row r="81" spans="1:9" x14ac:dyDescent="0.25">
      <c r="A81" s="379" t="s">
        <v>178</v>
      </c>
      <c r="B81" s="370"/>
      <c r="C81" s="380"/>
      <c r="D81" s="450">
        <f>B81*C81</f>
        <v>0</v>
      </c>
      <c r="E81" s="147"/>
      <c r="F81" s="299"/>
    </row>
    <row r="82" spans="1:9" x14ac:dyDescent="0.25">
      <c r="A82" s="382" t="s">
        <v>65</v>
      </c>
      <c r="B82" s="446">
        <f>+D20</f>
        <v>275000</v>
      </c>
      <c r="C82" s="380">
        <v>1.2999999999999999E-2</v>
      </c>
      <c r="D82" s="450">
        <f>B82*C82</f>
        <v>3575</v>
      </c>
      <c r="E82" s="147"/>
      <c r="F82" s="299"/>
    </row>
    <row r="83" spans="1:9" x14ac:dyDescent="0.25">
      <c r="A83" s="383" t="s">
        <v>75</v>
      </c>
      <c r="B83" s="447"/>
      <c r="C83" s="448">
        <v>0</v>
      </c>
      <c r="D83" s="450">
        <f>B83*C83</f>
        <v>0</v>
      </c>
      <c r="E83" s="147"/>
      <c r="F83" s="299"/>
    </row>
    <row r="84" spans="1:9" x14ac:dyDescent="0.25">
      <c r="A84" s="375" t="s">
        <v>98</v>
      </c>
      <c r="B84" s="445">
        <f>SUM(B79:B83)</f>
        <v>1575000</v>
      </c>
      <c r="C84" s="449">
        <f>((B82*C82)+(B79*C79)+(B83*C83)+(B80*C80))/B84</f>
        <v>1.2999999999999999E-2</v>
      </c>
      <c r="D84" s="451">
        <f>SUM(D79:D83)</f>
        <v>20475</v>
      </c>
      <c r="E84" s="147"/>
      <c r="F84" s="299"/>
    </row>
    <row r="85" spans="1:9" x14ac:dyDescent="0.25">
      <c r="A85" s="74"/>
      <c r="B85" s="147"/>
      <c r="C85" s="295"/>
      <c r="D85" s="349"/>
      <c r="E85" s="147"/>
      <c r="F85" s="299"/>
    </row>
    <row r="86" spans="1:9" x14ac:dyDescent="0.25">
      <c r="A86" s="365" t="s">
        <v>99</v>
      </c>
      <c r="B86" s="101" t="s">
        <v>191</v>
      </c>
      <c r="C86" s="378" t="s">
        <v>185</v>
      </c>
      <c r="D86" s="385"/>
      <c r="E86" s="147"/>
      <c r="F86" s="299"/>
    </row>
    <row r="87" spans="1:9" x14ac:dyDescent="0.25">
      <c r="A87" s="386" t="s">
        <v>99</v>
      </c>
      <c r="B87" s="452">
        <f>+D27-B76-B84-B88-B89-B90</f>
        <v>506312</v>
      </c>
      <c r="C87" s="453">
        <v>1.4999999999999999E-2</v>
      </c>
      <c r="D87" s="454">
        <f>B87*C87</f>
        <v>7594.6799999999994</v>
      </c>
      <c r="E87" s="147"/>
      <c r="F87" s="299"/>
    </row>
    <row r="88" spans="1:9" x14ac:dyDescent="0.25">
      <c r="A88" s="369" t="s">
        <v>102</v>
      </c>
      <c r="B88" s="370">
        <v>250000</v>
      </c>
      <c r="C88" s="453">
        <v>0</v>
      </c>
      <c r="D88" s="454">
        <f>B88*C88</f>
        <v>0</v>
      </c>
      <c r="E88" s="147"/>
      <c r="F88" s="299"/>
    </row>
    <row r="89" spans="1:9" x14ac:dyDescent="0.25">
      <c r="A89" s="369" t="s">
        <v>93</v>
      </c>
      <c r="B89" s="370"/>
      <c r="C89" s="453">
        <f>+C87</f>
        <v>1.4999999999999999E-2</v>
      </c>
      <c r="D89" s="454">
        <f>B89*C89</f>
        <v>0</v>
      </c>
      <c r="E89" s="147"/>
      <c r="F89" s="299"/>
    </row>
    <row r="90" spans="1:9" x14ac:dyDescent="0.25">
      <c r="A90" s="379" t="s">
        <v>105</v>
      </c>
      <c r="B90" s="370"/>
      <c r="C90" s="453">
        <f>+C87</f>
        <v>1.4999999999999999E-2</v>
      </c>
      <c r="D90" s="454">
        <f>B90*C90</f>
        <v>0</v>
      </c>
      <c r="E90" s="147"/>
      <c r="F90" s="299"/>
    </row>
    <row r="91" spans="1:9" x14ac:dyDescent="0.25">
      <c r="A91" s="375" t="s">
        <v>100</v>
      </c>
      <c r="B91" s="445">
        <f>SUM(B87:B90)</f>
        <v>756312</v>
      </c>
      <c r="C91" s="387"/>
      <c r="D91" s="455">
        <f>SUM(D87:D90)</f>
        <v>7594.6799999999994</v>
      </c>
      <c r="E91" s="147"/>
      <c r="F91" s="299"/>
    </row>
    <row r="92" spans="1:9" x14ac:dyDescent="0.25">
      <c r="A92" s="388"/>
      <c r="B92" s="389"/>
      <c r="C92" s="390"/>
      <c r="D92" s="391"/>
      <c r="E92" s="147"/>
      <c r="F92" s="299"/>
      <c r="H92" s="392"/>
    </row>
    <row r="93" spans="1:9" ht="15.75" x14ac:dyDescent="0.25">
      <c r="A93" s="318" t="s">
        <v>101</v>
      </c>
      <c r="B93" s="456">
        <f>+B76+B84+B91</f>
        <v>3181312</v>
      </c>
      <c r="C93" s="308"/>
      <c r="D93" s="429">
        <f>D91+D84</f>
        <v>28069.68</v>
      </c>
      <c r="E93" s="394"/>
      <c r="F93" s="299"/>
      <c r="H93" s="141" t="str">
        <f>IF(D6="x","Kontrolle","")</f>
        <v>Kontrolle</v>
      </c>
      <c r="I93" s="266">
        <f>IF(D6="x",B93-D27,"")</f>
        <v>0</v>
      </c>
    </row>
    <row r="94" spans="1:9" x14ac:dyDescent="0.25">
      <c r="A94" s="74"/>
      <c r="B94" s="147"/>
      <c r="C94" s="295"/>
      <c r="D94" s="354"/>
      <c r="E94" s="147"/>
      <c r="F94" s="299"/>
    </row>
    <row r="95" spans="1:9" ht="15.75" x14ac:dyDescent="0.25">
      <c r="A95" s="318" t="s">
        <v>11</v>
      </c>
      <c r="B95" s="393"/>
      <c r="C95" s="320"/>
      <c r="D95" s="364"/>
      <c r="E95" s="147"/>
      <c r="F95" s="299"/>
    </row>
    <row r="96" spans="1:9" x14ac:dyDescent="0.25">
      <c r="A96" s="113" t="s">
        <v>12</v>
      </c>
      <c r="B96" s="395"/>
      <c r="C96" s="395"/>
      <c r="D96" s="435">
        <f>+D51</f>
        <v>75114.758826314006</v>
      </c>
      <c r="E96" s="147"/>
      <c r="F96" s="299"/>
    </row>
    <row r="97" spans="1:6" x14ac:dyDescent="0.25">
      <c r="A97" s="396" t="s">
        <v>13</v>
      </c>
      <c r="B97" s="150"/>
      <c r="C97" s="150"/>
      <c r="D97" s="457"/>
      <c r="E97" s="147"/>
      <c r="F97" s="299"/>
    </row>
    <row r="98" spans="1:6" x14ac:dyDescent="0.25">
      <c r="A98" s="396" t="s">
        <v>14</v>
      </c>
      <c r="B98" s="150"/>
      <c r="C98" s="150"/>
      <c r="D98" s="434">
        <f>+D61</f>
        <v>23250.495999999999</v>
      </c>
      <c r="E98" s="147"/>
      <c r="F98" s="299"/>
    </row>
    <row r="99" spans="1:6" x14ac:dyDescent="0.25">
      <c r="A99" s="396" t="s">
        <v>9</v>
      </c>
      <c r="B99" s="150"/>
      <c r="C99" s="150"/>
      <c r="D99" s="434">
        <f>+D67</f>
        <v>0</v>
      </c>
      <c r="E99" s="147"/>
      <c r="F99" s="299"/>
    </row>
    <row r="100" spans="1:6" x14ac:dyDescent="0.25">
      <c r="A100" s="396" t="s">
        <v>15</v>
      </c>
      <c r="B100" s="150"/>
      <c r="C100" s="150"/>
      <c r="D100" s="434">
        <f>+D93</f>
        <v>28069.68</v>
      </c>
      <c r="E100" s="147"/>
      <c r="F100" s="299"/>
    </row>
    <row r="101" spans="1:6" x14ac:dyDescent="0.25">
      <c r="A101" s="307" t="s">
        <v>10</v>
      </c>
      <c r="B101" s="239"/>
      <c r="C101" s="239"/>
      <c r="D101" s="458">
        <f>SUM(D96:D100)</f>
        <v>126434.93482631401</v>
      </c>
      <c r="E101" s="147"/>
      <c r="F101" s="299"/>
    </row>
    <row r="102" spans="1:6" x14ac:dyDescent="0.25">
      <c r="A102" s="74"/>
      <c r="B102" s="147"/>
      <c r="C102" s="295"/>
      <c r="D102" s="377"/>
      <c r="E102" s="147"/>
      <c r="F102" s="299"/>
    </row>
    <row r="103" spans="1:6" x14ac:dyDescent="0.25">
      <c r="A103" s="352" t="s">
        <v>16</v>
      </c>
      <c r="B103" s="459">
        <v>365</v>
      </c>
      <c r="C103" s="295"/>
      <c r="D103" s="377"/>
      <c r="E103" s="147"/>
      <c r="F103" s="299"/>
    </row>
    <row r="104" spans="1:6" x14ac:dyDescent="0.25">
      <c r="A104" s="352" t="s">
        <v>17</v>
      </c>
      <c r="B104" s="460">
        <f>+Stammdaten!B7</f>
        <v>24</v>
      </c>
      <c r="C104" s="397"/>
      <c r="D104" s="377"/>
      <c r="E104" s="147"/>
      <c r="F104" s="299"/>
    </row>
    <row r="105" spans="1:6" x14ac:dyDescent="0.25">
      <c r="A105" s="398" t="s">
        <v>18</v>
      </c>
      <c r="B105" s="900">
        <v>0.96499999999999997</v>
      </c>
      <c r="C105" s="295"/>
      <c r="D105" s="377"/>
      <c r="E105" s="147"/>
      <c r="F105" s="299"/>
    </row>
    <row r="106" spans="1:6" ht="30.75" thickBot="1" x14ac:dyDescent="0.3">
      <c r="A106" s="399" t="s">
        <v>19</v>
      </c>
      <c r="B106" s="461">
        <f>B105*B104*B103</f>
        <v>8453.4</v>
      </c>
      <c r="C106" s="397"/>
      <c r="D106" s="377"/>
      <c r="E106" s="400" t="s">
        <v>22</v>
      </c>
      <c r="F106" s="400" t="s">
        <v>21</v>
      </c>
    </row>
    <row r="107" spans="1:6" ht="15.75" customHeight="1" thickTop="1" thickBot="1" x14ac:dyDescent="0.3">
      <c r="A107" s="74"/>
      <c r="B107" s="147"/>
      <c r="C107" s="295"/>
      <c r="D107" s="377"/>
      <c r="E107" s="401" t="s">
        <v>110</v>
      </c>
      <c r="F107" s="401" t="s">
        <v>110</v>
      </c>
    </row>
    <row r="108" spans="1:6" ht="19.5" thickBot="1" x14ac:dyDescent="0.35">
      <c r="A108" s="318" t="s">
        <v>245</v>
      </c>
      <c r="B108" s="393"/>
      <c r="C108" s="320"/>
      <c r="D108" s="364"/>
      <c r="E108" s="462">
        <f>+IF(D14="x",'A Flächen'!E169,'A Flächen'!E174)</f>
        <v>0.81160776118677636</v>
      </c>
      <c r="F108" s="462">
        <f>+IF(D14="x",'A Flächen'!E170,'A Flächen'!E175)</f>
        <v>0.18839223881322367</v>
      </c>
    </row>
    <row r="109" spans="1:6" x14ac:dyDescent="0.25">
      <c r="A109" s="402" t="s">
        <v>12</v>
      </c>
      <c r="B109" s="403"/>
      <c r="C109" s="403"/>
      <c r="D109" s="463">
        <f>D96/$B$106</f>
        <v>8.8857452417150515</v>
      </c>
      <c r="E109" s="405"/>
      <c r="F109" s="406"/>
    </row>
    <row r="110" spans="1:6" x14ac:dyDescent="0.25">
      <c r="A110" s="382" t="s">
        <v>13</v>
      </c>
      <c r="B110" s="407"/>
      <c r="C110" s="407"/>
      <c r="D110" s="463">
        <f>D97/$B$106</f>
        <v>0</v>
      </c>
      <c r="E110" s="408"/>
      <c r="F110" s="409"/>
    </row>
    <row r="111" spans="1:6" x14ac:dyDescent="0.25">
      <c r="A111" s="382" t="s">
        <v>14</v>
      </c>
      <c r="B111" s="407"/>
      <c r="C111" s="407"/>
      <c r="D111" s="463">
        <f>D98/$B$106</f>
        <v>2.7504313057468002</v>
      </c>
      <c r="E111" s="408"/>
      <c r="F111" s="409"/>
    </row>
    <row r="112" spans="1:6" x14ac:dyDescent="0.25">
      <c r="A112" s="382" t="s">
        <v>9</v>
      </c>
      <c r="B112" s="407"/>
      <c r="C112" s="407"/>
      <c r="D112" s="463">
        <f>D99/$B$106</f>
        <v>0</v>
      </c>
      <c r="E112" s="408"/>
      <c r="F112" s="409"/>
    </row>
    <row r="113" spans="1:9" ht="15.75" thickBot="1" x14ac:dyDescent="0.3">
      <c r="A113" s="382" t="s">
        <v>15</v>
      </c>
      <c r="B113" s="407"/>
      <c r="C113" s="407"/>
      <c r="D113" s="464">
        <f>D100/$B$106</f>
        <v>3.3205195542621904</v>
      </c>
      <c r="E113" s="408"/>
      <c r="F113" s="409"/>
    </row>
    <row r="114" spans="1:9" ht="19.5" thickBot="1" x14ac:dyDescent="0.35">
      <c r="A114" s="410" t="s">
        <v>445</v>
      </c>
      <c r="B114" s="411"/>
      <c r="C114" s="412" t="s">
        <v>62</v>
      </c>
      <c r="D114" s="465">
        <f>IF(D8="x",F8,SUM(D109:D113))</f>
        <v>14.956696101724042</v>
      </c>
      <c r="E114" s="413"/>
      <c r="F114" s="414"/>
    </row>
    <row r="115" spans="1:9" ht="15.75" x14ac:dyDescent="0.25">
      <c r="A115" s="410" t="s">
        <v>445</v>
      </c>
      <c r="B115" s="411"/>
      <c r="C115" s="412" t="s">
        <v>107</v>
      </c>
      <c r="D115" s="466">
        <f>+D114*365</f>
        <v>5459.1940771292748</v>
      </c>
      <c r="E115" s="415"/>
      <c r="F115" s="416"/>
    </row>
    <row r="116" spans="1:9" ht="18.75" x14ac:dyDescent="0.3">
      <c r="A116" s="417" t="s">
        <v>445</v>
      </c>
      <c r="B116" s="418"/>
      <c r="C116" s="238" t="s">
        <v>106</v>
      </c>
      <c r="D116" s="467">
        <f>+D115/12</f>
        <v>454.93283976077288</v>
      </c>
      <c r="E116" s="467">
        <f>+D116*E108</f>
        <v>369.22702356858338</v>
      </c>
      <c r="F116" s="467">
        <f>+D116*F108</f>
        <v>85.705816192189545</v>
      </c>
    </row>
    <row r="117" spans="1:9" x14ac:dyDescent="0.25">
      <c r="A117" s="74"/>
      <c r="B117" s="147"/>
      <c r="C117" s="295"/>
      <c r="D117" s="295"/>
      <c r="E117" s="295"/>
      <c r="F117" s="377"/>
    </row>
    <row r="118" spans="1:9" x14ac:dyDescent="0.25">
      <c r="A118" s="74"/>
      <c r="B118" s="147"/>
      <c r="C118" s="295"/>
      <c r="D118" s="295"/>
      <c r="E118" s="295"/>
      <c r="F118" s="377"/>
    </row>
    <row r="119" spans="1:9" ht="21" x14ac:dyDescent="0.35">
      <c r="A119" s="300" t="s">
        <v>131</v>
      </c>
      <c r="B119" s="301"/>
      <c r="C119" s="302"/>
      <c r="D119" s="302"/>
      <c r="E119" s="302"/>
      <c r="F119" s="303"/>
    </row>
    <row r="120" spans="1:9" ht="30" x14ac:dyDescent="0.25">
      <c r="A120" s="420" t="s">
        <v>446</v>
      </c>
      <c r="B120" s="468">
        <f>+'Anl. Verw.kosten 2. BV'!C14</f>
        <v>290.03796999999997</v>
      </c>
      <c r="C120" s="421" t="s">
        <v>132</v>
      </c>
      <c r="D120" s="470">
        <f>+B120/12</f>
        <v>24.169830833333332</v>
      </c>
      <c r="E120" s="409"/>
      <c r="F120" s="409"/>
    </row>
    <row r="121" spans="1:9" ht="30" x14ac:dyDescent="0.25">
      <c r="A121" s="420" t="s">
        <v>441</v>
      </c>
      <c r="B121" s="469">
        <v>0.02</v>
      </c>
      <c r="C121" s="422" t="s">
        <v>447</v>
      </c>
      <c r="D121" s="471">
        <f>+B121*D116</f>
        <v>9.098656795215458</v>
      </c>
      <c r="E121" s="423"/>
      <c r="F121" s="423"/>
    </row>
    <row r="122" spans="1:9" ht="18.75" x14ac:dyDescent="0.3">
      <c r="A122" s="424" t="s">
        <v>144</v>
      </c>
      <c r="B122" s="425"/>
      <c r="C122" s="425"/>
      <c r="D122" s="472">
        <f>+SUM(D120:D121)</f>
        <v>33.26848762854879</v>
      </c>
      <c r="E122" s="472">
        <f>+D122*E108</f>
        <v>27.000962762276451</v>
      </c>
      <c r="F122" s="472">
        <f>+F108*D122</f>
        <v>6.2675248662723408</v>
      </c>
    </row>
    <row r="123" spans="1:9" x14ac:dyDescent="0.25">
      <c r="A123" s="74"/>
      <c r="B123" s="147"/>
      <c r="C123" s="295"/>
      <c r="D123" s="295"/>
      <c r="E123" s="295"/>
      <c r="F123" s="377"/>
    </row>
    <row r="124" spans="1:9" ht="18.75" x14ac:dyDescent="0.3">
      <c r="A124" s="424" t="s">
        <v>133</v>
      </c>
      <c r="B124" s="425"/>
      <c r="C124" s="425"/>
      <c r="D124" s="472">
        <f>+D122+D116</f>
        <v>488.20132738932165</v>
      </c>
      <c r="E124" s="472">
        <f>+D124*E108</f>
        <v>396.22798633085978</v>
      </c>
      <c r="F124" s="472">
        <f>+D124*F108</f>
        <v>91.973341058461884</v>
      </c>
      <c r="H124" s="141" t="str">
        <f>IF(D6="x","Kontrolle","")</f>
        <v>Kontrolle</v>
      </c>
      <c r="I124" s="266">
        <f>E116/E108+E122/E108-D124</f>
        <v>0</v>
      </c>
    </row>
    <row r="125" spans="1:9" x14ac:dyDescent="0.25">
      <c r="H125" s="141" t="str">
        <f>IF(D6="x","Kontrolle","")</f>
        <v>Kontrolle</v>
      </c>
      <c r="I125" s="266">
        <f>F116/F108+F122/F108-D124</f>
        <v>0</v>
      </c>
    </row>
  </sheetData>
  <sheetProtection sheet="1" objects="1" scenarios="1"/>
  <mergeCells count="13">
    <mergeCell ref="A11:F11"/>
    <mergeCell ref="A12:A15"/>
    <mergeCell ref="B12:C12"/>
    <mergeCell ref="D12:D13"/>
    <mergeCell ref="B14:C14"/>
    <mergeCell ref="D14:D15"/>
    <mergeCell ref="A5:F5"/>
    <mergeCell ref="D6:D7"/>
    <mergeCell ref="D8:D9"/>
    <mergeCell ref="A6:A9"/>
    <mergeCell ref="F8:F9"/>
    <mergeCell ref="B6:C6"/>
    <mergeCell ref="B8:C8"/>
  </mergeCells>
  <conditionalFormatting sqref="I34">
    <cfRule type="expression" dxfId="78" priority="21">
      <formula>$I$34=""</formula>
    </cfRule>
    <cfRule type="expression" dxfId="77" priority="35">
      <formula>OR(I34&lt;-0.0009,I34&gt;0.0009)</formula>
    </cfRule>
  </conditionalFormatting>
  <conditionalFormatting sqref="D6:D7">
    <cfRule type="expression" dxfId="76" priority="27">
      <formula>AND($D$6="x",$D$8="x")</formula>
    </cfRule>
    <cfRule type="expression" dxfId="75" priority="29">
      <formula>$D$8="x"</formula>
    </cfRule>
  </conditionalFormatting>
  <conditionalFormatting sqref="D8:D9">
    <cfRule type="expression" dxfId="74" priority="26">
      <formula>AND($D$6="x",$D$8="x")</formula>
    </cfRule>
    <cfRule type="expression" dxfId="73" priority="28">
      <formula>$D$6="x"</formula>
    </cfRule>
  </conditionalFormatting>
  <conditionalFormatting sqref="F8:F9">
    <cfRule type="expression" dxfId="72" priority="22">
      <formula>AND($D$6="x",$F$8&gt;0)</formula>
    </cfRule>
    <cfRule type="expression" dxfId="71" priority="25">
      <formula>$D$8="x"</formula>
    </cfRule>
  </conditionalFormatting>
  <conditionalFormatting sqref="D20:D24 D26 A64:A66 D64:D66 A72:B75 A79:C81 C82 A88:B90 B105">
    <cfRule type="expression" dxfId="70" priority="24">
      <formula>$D$8="x"</formula>
    </cfRule>
  </conditionalFormatting>
  <conditionalFormatting sqref="I93">
    <cfRule type="expression" dxfId="69" priority="19">
      <formula>$I$34=""</formula>
    </cfRule>
    <cfRule type="expression" dxfId="68" priority="20">
      <formula>OR(I93&lt;-0.0009,I93&gt;0.0009)</formula>
    </cfRule>
  </conditionalFormatting>
  <conditionalFormatting sqref="I124">
    <cfRule type="expression" dxfId="67" priority="17">
      <formula>$I$34=""</formula>
    </cfRule>
    <cfRule type="expression" dxfId="66" priority="18">
      <formula>OR(I124&lt;-0.0009,I124&gt;0.0009)</formula>
    </cfRule>
  </conditionalFormatting>
  <conditionalFormatting sqref="D12:D13">
    <cfRule type="expression" dxfId="65" priority="2">
      <formula>AND($D$6="x",$D$14="")</formula>
    </cfRule>
    <cfRule type="expression" dxfId="64" priority="4">
      <formula>+AND($D$8="X",$D$12="x")</formula>
    </cfRule>
    <cfRule type="expression" dxfId="63" priority="6">
      <formula>+$D$8="x"</formula>
    </cfRule>
    <cfRule type="expression" dxfId="62" priority="11">
      <formula>AND($D$12="x",$D$14="x")</formula>
    </cfRule>
    <cfRule type="expression" dxfId="61" priority="12">
      <formula>$D$14="x"</formula>
    </cfRule>
  </conditionalFormatting>
  <conditionalFormatting sqref="D14:D15">
    <cfRule type="expression" dxfId="60" priority="1">
      <formula>AND($D$6="x",$D$12="")</formula>
    </cfRule>
    <cfRule type="expression" dxfId="59" priority="3">
      <formula>+AND($D$8="x",$D$14="x")</formula>
    </cfRule>
    <cfRule type="expression" dxfId="58" priority="5">
      <formula>AND($D$8="x",$D$12="x")</formula>
    </cfRule>
    <cfRule type="expression" dxfId="57" priority="9">
      <formula>AND($D$12="x",$D$14="x")</formula>
    </cfRule>
    <cfRule type="expression" dxfId="56" priority="10">
      <formula>$D$12="x"</formula>
    </cfRule>
  </conditionalFormatting>
  <conditionalFormatting sqref="I125">
    <cfRule type="expression" dxfId="55" priority="7">
      <formula>$I$34=""</formula>
    </cfRule>
    <cfRule type="expression" dxfId="54" priority="8">
      <formula>OR(I125&lt;-0.0009,I125&gt;0.0009)</formula>
    </cfRule>
  </conditionalFormatting>
  <pageMargins left="0.7" right="0.7" top="0.78740157499999996" bottom="0.78740157499999996" header="0.3" footer="0.3"/>
  <pageSetup paperSize="9" scale="64" fitToWidth="0" fitToHeight="0" orientation="portrait" r:id="rId1"/>
  <rowBreaks count="1" manualBreakCount="1">
    <brk id="56" max="5"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7"/>
  <sheetViews>
    <sheetView zoomScaleNormal="100" workbookViewId="0">
      <selection activeCell="A5" sqref="A5"/>
    </sheetView>
  </sheetViews>
  <sheetFormatPr baseColWidth="10" defaultColWidth="11.42578125" defaultRowHeight="15" x14ac:dyDescent="0.25"/>
  <cols>
    <col min="1" max="1" width="22" style="146" customWidth="1"/>
    <col min="2" max="2" width="29.28515625" style="146" customWidth="1"/>
    <col min="3" max="5" width="15.42578125" style="426" customWidth="1"/>
    <col min="6" max="7" width="15.42578125" style="146" customWidth="1"/>
    <col min="8" max="8" width="15.140625" style="146" customWidth="1"/>
    <col min="9" max="9" width="4.85546875" style="67" customWidth="1"/>
    <col min="10" max="10" width="7.7109375" style="146" bestFit="1" customWidth="1"/>
    <col min="11" max="11" width="9.85546875" style="146" customWidth="1"/>
    <col min="12" max="16384" width="11.42578125" style="146"/>
  </cols>
  <sheetData>
    <row r="1" spans="1:10" ht="26.25" x14ac:dyDescent="0.4">
      <c r="A1" s="485" t="s">
        <v>30</v>
      </c>
      <c r="B1" s="486"/>
      <c r="C1" s="487"/>
      <c r="D1" s="487"/>
      <c r="E1" s="487"/>
      <c r="F1" s="486"/>
      <c r="G1" s="486"/>
      <c r="H1" s="488"/>
    </row>
    <row r="2" spans="1:10" ht="26.25" x14ac:dyDescent="0.4">
      <c r="A2" s="489" t="s">
        <v>439</v>
      </c>
      <c r="B2" s="490"/>
      <c r="C2" s="490"/>
      <c r="D2" s="490"/>
      <c r="E2" s="490"/>
      <c r="F2" s="490"/>
      <c r="G2" s="490"/>
      <c r="H2" s="491" t="str">
        <f>+Stammdaten!D2</f>
        <v>Version 1.3</v>
      </c>
    </row>
    <row r="3" spans="1:10" ht="15.75" thickBot="1" x14ac:dyDescent="0.3">
      <c r="A3" s="554" t="str">
        <f>+Stammdaten!B5</f>
        <v>Wohnheim Musterdorf</v>
      </c>
      <c r="B3" s="84"/>
      <c r="C3" s="1" t="str">
        <f>+Stammdaten!B6</f>
        <v>Beispiel-Landkreis</v>
      </c>
      <c r="D3" s="84"/>
      <c r="E3" s="84"/>
      <c r="F3" s="493" t="s">
        <v>45</v>
      </c>
      <c r="G3" s="494"/>
      <c r="H3" s="495"/>
      <c r="J3" s="297"/>
    </row>
    <row r="4" spans="1:10" ht="75.75" customHeight="1" thickBot="1" x14ac:dyDescent="0.3">
      <c r="A4" s="985" t="s">
        <v>483</v>
      </c>
      <c r="B4" s="986"/>
      <c r="C4" s="986"/>
      <c r="D4" s="986"/>
      <c r="E4" s="986"/>
      <c r="F4" s="986"/>
      <c r="G4" s="986"/>
      <c r="H4" s="987"/>
      <c r="J4" s="496"/>
    </row>
    <row r="5" spans="1:10" x14ac:dyDescent="0.25">
      <c r="A5" s="298"/>
      <c r="B5" s="147"/>
      <c r="C5" s="147"/>
      <c r="D5" s="147"/>
      <c r="E5" s="147"/>
      <c r="F5" s="147"/>
      <c r="G5" s="147"/>
      <c r="H5" s="299"/>
      <c r="J5" s="496"/>
    </row>
    <row r="6" spans="1:10" ht="21" x14ac:dyDescent="0.35">
      <c r="A6" s="300" t="s">
        <v>256</v>
      </c>
      <c r="B6" s="301"/>
      <c r="C6" s="497" t="s">
        <v>172</v>
      </c>
      <c r="D6" s="301"/>
      <c r="E6" s="301"/>
      <c r="F6" s="301"/>
      <c r="G6" s="498"/>
      <c r="H6" s="299"/>
      <c r="J6" s="297"/>
    </row>
    <row r="7" spans="1:10" ht="33" customHeight="1" thickBot="1" x14ac:dyDescent="0.3">
      <c r="A7" s="988" t="s">
        <v>257</v>
      </c>
      <c r="B7" s="989"/>
      <c r="C7" s="499" t="s">
        <v>164</v>
      </c>
      <c r="D7" s="499" t="s">
        <v>165</v>
      </c>
      <c r="E7" s="500" t="s">
        <v>145</v>
      </c>
      <c r="F7" s="500" t="s">
        <v>146</v>
      </c>
      <c r="G7" s="501" t="s">
        <v>161</v>
      </c>
      <c r="H7" s="502" t="s">
        <v>147</v>
      </c>
      <c r="J7" s="496"/>
    </row>
    <row r="8" spans="1:10" x14ac:dyDescent="0.25">
      <c r="A8" s="503" t="s">
        <v>152</v>
      </c>
      <c r="B8" s="504"/>
      <c r="C8" s="505" t="s">
        <v>188</v>
      </c>
      <c r="D8" s="506"/>
      <c r="E8" s="506"/>
      <c r="F8" s="506"/>
      <c r="G8" s="506"/>
      <c r="H8" s="507"/>
      <c r="J8" s="297"/>
    </row>
    <row r="9" spans="1:10" x14ac:dyDescent="0.25">
      <c r="A9" s="508" t="s">
        <v>156</v>
      </c>
      <c r="B9" s="509"/>
      <c r="C9" s="510">
        <v>0</v>
      </c>
      <c r="D9" s="510">
        <v>38000</v>
      </c>
      <c r="E9" s="511">
        <v>2000</v>
      </c>
      <c r="F9" s="511">
        <v>200000</v>
      </c>
      <c r="G9" s="512">
        <v>0</v>
      </c>
      <c r="H9" s="555">
        <f>+SUM(C9:G9)</f>
        <v>240000</v>
      </c>
      <c r="J9" s="297"/>
    </row>
    <row r="10" spans="1:10" x14ac:dyDescent="0.25">
      <c r="A10" s="508" t="s">
        <v>159</v>
      </c>
      <c r="B10" s="509"/>
      <c r="C10" s="510"/>
      <c r="D10" s="510"/>
      <c r="E10" s="511">
        <v>50000</v>
      </c>
      <c r="F10" s="511"/>
      <c r="G10" s="512"/>
      <c r="H10" s="555">
        <f>+SUM(C10:G10)</f>
        <v>50000</v>
      </c>
      <c r="J10" s="297"/>
    </row>
    <row r="11" spans="1:10" x14ac:dyDescent="0.25">
      <c r="A11" s="508" t="s">
        <v>158</v>
      </c>
      <c r="B11" s="509"/>
      <c r="C11" s="510"/>
      <c r="D11" s="510">
        <v>200000</v>
      </c>
      <c r="E11" s="511"/>
      <c r="F11" s="511"/>
      <c r="G11" s="512"/>
      <c r="H11" s="555">
        <f>+SUM(C11:G11)</f>
        <v>200000</v>
      </c>
      <c r="J11" s="297"/>
    </row>
    <row r="12" spans="1:10" x14ac:dyDescent="0.25">
      <c r="A12" s="508" t="s">
        <v>162</v>
      </c>
      <c r="B12" s="509"/>
      <c r="C12" s="510"/>
      <c r="D12" s="510"/>
      <c r="E12" s="511"/>
      <c r="F12" s="511">
        <v>150000</v>
      </c>
      <c r="G12" s="512"/>
      <c r="H12" s="555">
        <f>+SUM(C12:G12)</f>
        <v>150000</v>
      </c>
      <c r="J12" s="297"/>
    </row>
    <row r="13" spans="1:10" x14ac:dyDescent="0.25">
      <c r="A13" s="508" t="s">
        <v>157</v>
      </c>
      <c r="B13" s="509"/>
      <c r="C13" s="510">
        <v>0</v>
      </c>
      <c r="D13" s="510">
        <v>150000</v>
      </c>
      <c r="E13" s="511">
        <v>0</v>
      </c>
      <c r="F13" s="511">
        <v>0</v>
      </c>
      <c r="G13" s="512">
        <v>0</v>
      </c>
      <c r="H13" s="555">
        <f>+SUM(C13:G13)</f>
        <v>150000</v>
      </c>
      <c r="J13" s="297"/>
    </row>
    <row r="14" spans="1:10" x14ac:dyDescent="0.25">
      <c r="A14" s="508" t="s">
        <v>163</v>
      </c>
      <c r="B14" s="509"/>
      <c r="C14" s="510"/>
      <c r="D14" s="510"/>
      <c r="E14" s="511">
        <v>200000</v>
      </c>
      <c r="F14" s="511"/>
      <c r="G14" s="512"/>
      <c r="H14" s="555">
        <f t="shared" ref="H14:H18" si="0">+SUM(C14:G14)</f>
        <v>200000</v>
      </c>
      <c r="J14" s="297"/>
    </row>
    <row r="15" spans="1:10" x14ac:dyDescent="0.25">
      <c r="A15" s="508" t="s">
        <v>160</v>
      </c>
      <c r="B15" s="509"/>
      <c r="C15" s="510">
        <v>0</v>
      </c>
      <c r="D15" s="510">
        <v>0</v>
      </c>
      <c r="E15" s="511">
        <v>80000</v>
      </c>
      <c r="F15" s="511">
        <v>0</v>
      </c>
      <c r="G15" s="512">
        <v>0</v>
      </c>
      <c r="H15" s="555">
        <f t="shared" si="0"/>
        <v>80000</v>
      </c>
      <c r="J15" s="297"/>
    </row>
    <row r="16" spans="1:10" x14ac:dyDescent="0.25">
      <c r="A16" s="508" t="s">
        <v>155</v>
      </c>
      <c r="B16" s="509"/>
      <c r="C16" s="510"/>
      <c r="D16" s="510"/>
      <c r="E16" s="513"/>
      <c r="F16" s="511"/>
      <c r="G16" s="512"/>
      <c r="H16" s="555">
        <f t="shared" si="0"/>
        <v>0</v>
      </c>
      <c r="J16" s="496"/>
    </row>
    <row r="17" spans="1:11" x14ac:dyDescent="0.25">
      <c r="A17" s="508"/>
      <c r="B17" s="509"/>
      <c r="C17" s="510"/>
      <c r="D17" s="510"/>
      <c r="E17" s="511"/>
      <c r="F17" s="511"/>
      <c r="G17" s="512"/>
      <c r="H17" s="555">
        <f t="shared" si="0"/>
        <v>0</v>
      </c>
      <c r="J17" s="297"/>
    </row>
    <row r="18" spans="1:11" ht="15.95" customHeight="1" thickBot="1" x14ac:dyDescent="0.3">
      <c r="A18" s="514"/>
      <c r="B18" s="515"/>
      <c r="C18" s="516"/>
      <c r="D18" s="516"/>
      <c r="E18" s="517"/>
      <c r="F18" s="517"/>
      <c r="G18" s="518"/>
      <c r="H18" s="555">
        <f t="shared" si="0"/>
        <v>0</v>
      </c>
      <c r="J18" s="297"/>
    </row>
    <row r="19" spans="1:11" ht="16.5" thickTop="1" thickBot="1" x14ac:dyDescent="0.3">
      <c r="A19" s="519" t="s">
        <v>153</v>
      </c>
      <c r="B19" s="520"/>
      <c r="C19" s="557">
        <f t="shared" ref="C19:H19" si="1">+SUM(C9:C18)</f>
        <v>0</v>
      </c>
      <c r="D19" s="557">
        <f t="shared" si="1"/>
        <v>388000</v>
      </c>
      <c r="E19" s="557">
        <f t="shared" si="1"/>
        <v>332000</v>
      </c>
      <c r="F19" s="557">
        <f t="shared" si="1"/>
        <v>350000</v>
      </c>
      <c r="G19" s="557">
        <f t="shared" si="1"/>
        <v>0</v>
      </c>
      <c r="H19" s="556">
        <f t="shared" si="1"/>
        <v>1070000</v>
      </c>
      <c r="J19" s="297"/>
    </row>
    <row r="20" spans="1:11" x14ac:dyDescent="0.25">
      <c r="A20" s="503" t="s">
        <v>154</v>
      </c>
      <c r="B20" s="504"/>
      <c r="C20" s="505" t="s">
        <v>188</v>
      </c>
      <c r="D20" s="506"/>
      <c r="E20" s="506"/>
      <c r="F20" s="506"/>
      <c r="G20" s="506"/>
      <c r="H20" s="507"/>
      <c r="J20" s="297"/>
    </row>
    <row r="21" spans="1:11" x14ac:dyDescent="0.25">
      <c r="A21" s="508" t="s">
        <v>148</v>
      </c>
      <c r="B21" s="509"/>
      <c r="C21" s="510"/>
      <c r="D21" s="510"/>
      <c r="E21" s="511"/>
      <c r="F21" s="511"/>
      <c r="G21" s="512"/>
      <c r="H21" s="555">
        <f t="shared" ref="H21:H27" si="2">+SUM(C21:G21)</f>
        <v>0</v>
      </c>
      <c r="J21" s="297"/>
    </row>
    <row r="22" spans="1:11" x14ac:dyDescent="0.25">
      <c r="A22" s="508" t="s">
        <v>149</v>
      </c>
      <c r="B22" s="509"/>
      <c r="C22" s="510"/>
      <c r="D22" s="510"/>
      <c r="E22" s="511"/>
      <c r="F22" s="511"/>
      <c r="G22" s="512"/>
      <c r="H22" s="555">
        <f t="shared" si="2"/>
        <v>0</v>
      </c>
      <c r="J22" s="297"/>
    </row>
    <row r="23" spans="1:11" x14ac:dyDescent="0.25">
      <c r="A23" s="508" t="s">
        <v>150</v>
      </c>
      <c r="B23" s="509"/>
      <c r="C23" s="510"/>
      <c r="D23" s="510"/>
      <c r="E23" s="511"/>
      <c r="F23" s="511"/>
      <c r="G23" s="512"/>
      <c r="H23" s="555">
        <f t="shared" si="2"/>
        <v>0</v>
      </c>
      <c r="J23" s="297"/>
    </row>
    <row r="24" spans="1:11" x14ac:dyDescent="0.25">
      <c r="A24" s="521" t="s">
        <v>155</v>
      </c>
      <c r="B24" s="522"/>
      <c r="C24" s="523"/>
      <c r="D24" s="523"/>
      <c r="E24" s="524"/>
      <c r="F24" s="524"/>
      <c r="G24" s="525"/>
      <c r="H24" s="555">
        <f t="shared" si="2"/>
        <v>0</v>
      </c>
      <c r="J24" s="297"/>
    </row>
    <row r="25" spans="1:11" x14ac:dyDescent="0.25">
      <c r="A25" s="521"/>
      <c r="B25" s="522"/>
      <c r="C25" s="523"/>
      <c r="D25" s="523"/>
      <c r="E25" s="524"/>
      <c r="F25" s="524"/>
      <c r="G25" s="525"/>
      <c r="H25" s="555">
        <f t="shared" si="2"/>
        <v>0</v>
      </c>
      <c r="J25" s="297"/>
    </row>
    <row r="26" spans="1:11" x14ac:dyDescent="0.25">
      <c r="A26" s="521"/>
      <c r="B26" s="522"/>
      <c r="C26" s="523"/>
      <c r="D26" s="523"/>
      <c r="E26" s="524"/>
      <c r="F26" s="524"/>
      <c r="G26" s="525"/>
      <c r="H26" s="555">
        <f t="shared" si="2"/>
        <v>0</v>
      </c>
      <c r="J26" s="297"/>
    </row>
    <row r="27" spans="1:11" ht="15.95" customHeight="1" thickBot="1" x14ac:dyDescent="0.3">
      <c r="A27" s="514"/>
      <c r="B27" s="515"/>
      <c r="C27" s="516"/>
      <c r="D27" s="516"/>
      <c r="E27" s="517"/>
      <c r="F27" s="517"/>
      <c r="G27" s="518"/>
      <c r="H27" s="560">
        <f t="shared" si="2"/>
        <v>0</v>
      </c>
      <c r="J27" s="297"/>
    </row>
    <row r="28" spans="1:11" ht="17.100000000000001" customHeight="1" thickTop="1" thickBot="1" x14ac:dyDescent="0.3">
      <c r="A28" s="519" t="s">
        <v>151</v>
      </c>
      <c r="B28" s="520"/>
      <c r="C28" s="557">
        <f t="shared" ref="C28:H28" si="3">+SUM(C21:C27)</f>
        <v>0</v>
      </c>
      <c r="D28" s="557">
        <f t="shared" si="3"/>
        <v>0</v>
      </c>
      <c r="E28" s="557">
        <f t="shared" si="3"/>
        <v>0</v>
      </c>
      <c r="F28" s="557">
        <f t="shared" si="3"/>
        <v>0</v>
      </c>
      <c r="G28" s="557">
        <f t="shared" si="3"/>
        <v>0</v>
      </c>
      <c r="H28" s="556">
        <f t="shared" si="3"/>
        <v>0</v>
      </c>
      <c r="J28" s="297"/>
    </row>
    <row r="29" spans="1:11" ht="15.75" thickBot="1" x14ac:dyDescent="0.3">
      <c r="A29" s="526" t="s">
        <v>166</v>
      </c>
      <c r="B29" s="180"/>
      <c r="C29" s="558">
        <f>+C28+C19</f>
        <v>0</v>
      </c>
      <c r="D29" s="558">
        <f>+D28+D19</f>
        <v>388000</v>
      </c>
      <c r="E29" s="558">
        <f>+E28+E19</f>
        <v>332000</v>
      </c>
      <c r="F29" s="558">
        <f>+F28+F19</f>
        <v>350000</v>
      </c>
      <c r="G29" s="558">
        <f>+G28+G19</f>
        <v>0</v>
      </c>
      <c r="H29" s="559">
        <f>SUM(C29:G29)</f>
        <v>1070000</v>
      </c>
      <c r="J29" s="140" t="s">
        <v>6</v>
      </c>
      <c r="K29" s="266">
        <f>+H29-H28-H19</f>
        <v>0</v>
      </c>
    </row>
    <row r="30" spans="1:11" x14ac:dyDescent="0.25">
      <c r="A30" s="298"/>
      <c r="B30" s="147"/>
      <c r="C30" s="147"/>
      <c r="D30" s="147"/>
      <c r="E30" s="147"/>
      <c r="F30" s="147"/>
      <c r="G30" s="147"/>
      <c r="H30" s="299"/>
      <c r="J30" s="297"/>
    </row>
    <row r="31" spans="1:11" ht="21" x14ac:dyDescent="0.35">
      <c r="A31" s="300" t="s">
        <v>255</v>
      </c>
      <c r="B31" s="319"/>
      <c r="C31" s="320"/>
      <c r="D31" s="364"/>
      <c r="E31" s="147"/>
      <c r="F31" s="147"/>
      <c r="G31" s="147"/>
      <c r="H31" s="299"/>
      <c r="J31" s="297"/>
    </row>
    <row r="32" spans="1:11" x14ac:dyDescent="0.25">
      <c r="A32" s="365" t="s">
        <v>78</v>
      </c>
      <c r="B32" s="101" t="s">
        <v>191</v>
      </c>
      <c r="C32" s="366"/>
      <c r="D32" s="367"/>
      <c r="E32" s="147"/>
      <c r="F32" s="147"/>
      <c r="G32" s="147"/>
      <c r="H32" s="299"/>
      <c r="J32" s="297"/>
    </row>
    <row r="33" spans="1:10" x14ac:dyDescent="0.25">
      <c r="A33" s="369" t="s">
        <v>91</v>
      </c>
      <c r="B33" s="370"/>
      <c r="C33" s="371"/>
      <c r="D33" s="372"/>
      <c r="E33" s="147"/>
      <c r="F33" s="147"/>
      <c r="G33" s="147"/>
      <c r="H33" s="299"/>
      <c r="J33" s="297"/>
    </row>
    <row r="34" spans="1:10" x14ac:dyDescent="0.25">
      <c r="A34" s="369" t="s">
        <v>92</v>
      </c>
      <c r="B34" s="370"/>
      <c r="C34" s="371"/>
      <c r="D34" s="372"/>
      <c r="E34" s="147"/>
      <c r="F34" s="147"/>
      <c r="G34" s="147"/>
      <c r="H34" s="299"/>
      <c r="J34" s="297"/>
    </row>
    <row r="35" spans="1:10" x14ac:dyDescent="0.25">
      <c r="A35" s="369" t="s">
        <v>93</v>
      </c>
      <c r="B35" s="370"/>
      <c r="C35" s="374"/>
      <c r="D35" s="372"/>
      <c r="E35" s="147"/>
      <c r="F35" s="147"/>
      <c r="G35" s="147"/>
      <c r="H35" s="299"/>
      <c r="J35" s="297"/>
    </row>
    <row r="36" spans="1:10" x14ac:dyDescent="0.25">
      <c r="A36" s="527" t="s">
        <v>78</v>
      </c>
      <c r="B36" s="445">
        <f>SUM(B33:B35)</f>
        <v>0</v>
      </c>
      <c r="C36" s="371"/>
      <c r="D36" s="372"/>
      <c r="E36" s="147"/>
      <c r="F36" s="147"/>
      <c r="G36" s="147"/>
      <c r="H36" s="299"/>
      <c r="J36" s="297"/>
    </row>
    <row r="37" spans="1:10" x14ac:dyDescent="0.25">
      <c r="A37" s="74"/>
      <c r="B37" s="376"/>
      <c r="C37" s="295"/>
      <c r="D37" s="377"/>
      <c r="E37" s="147"/>
      <c r="F37" s="147"/>
      <c r="G37" s="147"/>
      <c r="H37" s="299"/>
      <c r="J37" s="297"/>
    </row>
    <row r="38" spans="1:10" x14ac:dyDescent="0.25">
      <c r="A38" s="365" t="s">
        <v>97</v>
      </c>
      <c r="B38" s="101" t="s">
        <v>191</v>
      </c>
      <c r="C38" s="378" t="s">
        <v>185</v>
      </c>
      <c r="D38" s="367"/>
      <c r="E38" s="147"/>
      <c r="F38" s="147"/>
      <c r="G38" s="147"/>
      <c r="H38" s="299"/>
      <c r="J38" s="297"/>
    </row>
    <row r="39" spans="1:10" x14ac:dyDescent="0.25">
      <c r="A39" s="379" t="s">
        <v>103</v>
      </c>
      <c r="B39" s="310">
        <v>500000</v>
      </c>
      <c r="C39" s="380">
        <v>1.7999999999999999E-2</v>
      </c>
      <c r="D39" s="450">
        <f>B39*C39</f>
        <v>9000</v>
      </c>
      <c r="E39" s="147"/>
      <c r="F39" s="147"/>
      <c r="G39" s="147"/>
      <c r="H39" s="299"/>
      <c r="J39" s="297"/>
    </row>
    <row r="40" spans="1:10" x14ac:dyDescent="0.25">
      <c r="A40" s="379" t="s">
        <v>104</v>
      </c>
      <c r="B40" s="310"/>
      <c r="C40" s="380"/>
      <c r="D40" s="450">
        <f>B40*C40</f>
        <v>0</v>
      </c>
      <c r="E40" s="147"/>
      <c r="F40" s="147"/>
      <c r="G40" s="147"/>
      <c r="H40" s="299"/>
      <c r="J40" s="297"/>
    </row>
    <row r="41" spans="1:10" x14ac:dyDescent="0.25">
      <c r="A41" s="382" t="s">
        <v>65</v>
      </c>
      <c r="B41" s="446">
        <f>+C29</f>
        <v>0</v>
      </c>
      <c r="C41" s="380"/>
      <c r="D41" s="450">
        <f>B41*C41</f>
        <v>0</v>
      </c>
      <c r="E41" s="147"/>
      <c r="F41" s="147"/>
      <c r="G41" s="147"/>
      <c r="H41" s="299"/>
      <c r="J41" s="297"/>
    </row>
    <row r="42" spans="1:10" x14ac:dyDescent="0.25">
      <c r="A42" s="369" t="s">
        <v>105</v>
      </c>
      <c r="B42" s="310"/>
      <c r="C42" s="380"/>
      <c r="D42" s="450">
        <f>B42*C42</f>
        <v>0</v>
      </c>
      <c r="E42" s="147"/>
      <c r="F42" s="147"/>
      <c r="G42" s="147"/>
      <c r="H42" s="299"/>
      <c r="J42" s="297"/>
    </row>
    <row r="43" spans="1:10" x14ac:dyDescent="0.25">
      <c r="A43" s="527" t="s">
        <v>98</v>
      </c>
      <c r="B43" s="445">
        <f>SUM(B39:B42)</f>
        <v>500000</v>
      </c>
      <c r="C43" s="449">
        <f>((B41*C41)+(B39*C39)+(B42*C42)+(B40*C40))/B43</f>
        <v>1.7999999999999999E-2</v>
      </c>
      <c r="D43" s="451">
        <f>SUM(D39:D42)</f>
        <v>9000</v>
      </c>
      <c r="E43" s="147"/>
      <c r="F43" s="147"/>
      <c r="G43" s="147"/>
      <c r="H43" s="299"/>
      <c r="J43" s="297"/>
    </row>
    <row r="44" spans="1:10" x14ac:dyDescent="0.25">
      <c r="A44" s="74"/>
      <c r="B44" s="147"/>
      <c r="C44" s="295"/>
      <c r="D44" s="349"/>
      <c r="E44" s="147"/>
      <c r="F44" s="147"/>
      <c r="G44" s="147"/>
      <c r="H44" s="299"/>
      <c r="J44" s="297"/>
    </row>
    <row r="45" spans="1:10" x14ac:dyDescent="0.25">
      <c r="A45" s="365" t="s">
        <v>99</v>
      </c>
      <c r="B45" s="101" t="s">
        <v>191</v>
      </c>
      <c r="C45" s="378" t="s">
        <v>185</v>
      </c>
      <c r="D45" s="385"/>
      <c r="E45" s="147"/>
      <c r="F45" s="147"/>
      <c r="G45" s="147"/>
      <c r="H45" s="299"/>
      <c r="J45" s="297"/>
    </row>
    <row r="46" spans="1:10" x14ac:dyDescent="0.25">
      <c r="A46" s="386" t="s">
        <v>99</v>
      </c>
      <c r="B46" s="452">
        <f>+H29-B36-B43-B47-B48-B49</f>
        <v>570000</v>
      </c>
      <c r="C46" s="561">
        <f>+'B_1 Geb. Kaltmiete'!C87</f>
        <v>1.4999999999999999E-2</v>
      </c>
      <c r="D46" s="454">
        <f>B46*C46</f>
        <v>8550</v>
      </c>
      <c r="E46" s="147"/>
      <c r="F46" s="147"/>
      <c r="G46" s="147"/>
      <c r="H46" s="299"/>
      <c r="J46" s="297"/>
    </row>
    <row r="47" spans="1:10" x14ac:dyDescent="0.25">
      <c r="A47" s="369" t="s">
        <v>102</v>
      </c>
      <c r="B47" s="370"/>
      <c r="C47" s="561">
        <v>0</v>
      </c>
      <c r="D47" s="454">
        <f>B47*C47</f>
        <v>0</v>
      </c>
      <c r="E47" s="147"/>
      <c r="F47" s="147"/>
      <c r="G47" s="147"/>
      <c r="H47" s="299"/>
      <c r="J47" s="297"/>
    </row>
    <row r="48" spans="1:10" x14ac:dyDescent="0.25">
      <c r="A48" s="369" t="s">
        <v>93</v>
      </c>
      <c r="B48" s="370"/>
      <c r="C48" s="561">
        <f>+C46</f>
        <v>1.4999999999999999E-2</v>
      </c>
      <c r="D48" s="454">
        <f>B48*C48</f>
        <v>0</v>
      </c>
      <c r="E48" s="147"/>
      <c r="F48" s="147"/>
      <c r="G48" s="147"/>
      <c r="H48" s="299"/>
      <c r="J48" s="297"/>
    </row>
    <row r="49" spans="1:10" x14ac:dyDescent="0.25">
      <c r="A49" s="379" t="s">
        <v>105</v>
      </c>
      <c r="B49" s="370"/>
      <c r="C49" s="561">
        <f>+C46</f>
        <v>1.4999999999999999E-2</v>
      </c>
      <c r="D49" s="454">
        <f>B49*C49</f>
        <v>0</v>
      </c>
      <c r="E49" s="147"/>
      <c r="F49" s="147"/>
      <c r="G49" s="147"/>
      <c r="H49" s="299"/>
      <c r="J49" s="297"/>
    </row>
    <row r="50" spans="1:10" x14ac:dyDescent="0.25">
      <c r="A50" s="527" t="s">
        <v>100</v>
      </c>
      <c r="B50" s="445">
        <f>SUM(B46:B49)</f>
        <v>570000</v>
      </c>
      <c r="C50" s="387"/>
      <c r="D50" s="455">
        <f>SUM(D46:D49)</f>
        <v>8550</v>
      </c>
      <c r="E50" s="147"/>
      <c r="F50" s="147"/>
      <c r="G50" s="147"/>
      <c r="H50" s="299"/>
      <c r="J50" s="297"/>
    </row>
    <row r="51" spans="1:10" x14ac:dyDescent="0.25">
      <c r="A51" s="388"/>
      <c r="B51" s="389"/>
      <c r="C51" s="390"/>
      <c r="D51" s="391"/>
      <c r="E51" s="147"/>
      <c r="F51" s="147"/>
      <c r="G51" s="147"/>
      <c r="H51" s="299"/>
      <c r="J51" s="297"/>
    </row>
    <row r="52" spans="1:10" x14ac:dyDescent="0.25">
      <c r="A52" s="307" t="s">
        <v>101</v>
      </c>
      <c r="B52" s="456">
        <f>+B36+B43+B50</f>
        <v>1070000</v>
      </c>
      <c r="C52" s="308"/>
      <c r="D52" s="429">
        <f>D50+D43</f>
        <v>17550</v>
      </c>
      <c r="E52" s="147"/>
      <c r="F52" s="147"/>
      <c r="G52" s="147"/>
      <c r="H52" s="299"/>
      <c r="J52" s="297"/>
    </row>
    <row r="53" spans="1:10" x14ac:dyDescent="0.25">
      <c r="A53" s="298"/>
      <c r="B53" s="147"/>
      <c r="C53" s="147"/>
      <c r="D53" s="147"/>
      <c r="E53" s="147"/>
      <c r="F53" s="147"/>
      <c r="G53" s="147"/>
      <c r="H53" s="299"/>
      <c r="J53" s="297"/>
    </row>
    <row r="54" spans="1:10" ht="21" x14ac:dyDescent="0.35">
      <c r="A54" s="300" t="s">
        <v>254</v>
      </c>
      <c r="B54" s="319"/>
      <c r="C54" s="320"/>
      <c r="D54" s="325"/>
      <c r="E54" s="147"/>
      <c r="F54" s="147"/>
      <c r="G54" s="147"/>
      <c r="H54" s="299"/>
      <c r="J54" s="297"/>
    </row>
    <row r="55" spans="1:10" x14ac:dyDescent="0.25">
      <c r="A55" s="365" t="s">
        <v>190</v>
      </c>
      <c r="B55" s="88"/>
      <c r="C55" s="88"/>
      <c r="D55" s="101" t="s">
        <v>503</v>
      </c>
      <c r="E55" s="147"/>
      <c r="F55" s="147"/>
      <c r="G55" s="147"/>
      <c r="H55" s="299"/>
      <c r="J55" s="297"/>
    </row>
    <row r="56" spans="1:10" x14ac:dyDescent="0.25">
      <c r="A56" s="379" t="s">
        <v>91</v>
      </c>
      <c r="B56" s="859"/>
      <c r="C56" s="936"/>
      <c r="D56" s="310"/>
      <c r="E56" s="147"/>
      <c r="F56" s="147"/>
      <c r="G56" s="147"/>
      <c r="H56" s="299"/>
      <c r="J56" s="297"/>
    </row>
    <row r="57" spans="1:10" x14ac:dyDescent="0.25">
      <c r="A57" s="379" t="s">
        <v>92</v>
      </c>
      <c r="B57" s="859"/>
      <c r="C57" s="936"/>
      <c r="D57" s="310"/>
      <c r="E57" s="147"/>
      <c r="F57" s="147"/>
      <c r="G57" s="147"/>
      <c r="H57" s="299"/>
      <c r="J57" s="297"/>
    </row>
    <row r="58" spans="1:10" x14ac:dyDescent="0.25">
      <c r="A58" s="379" t="s">
        <v>93</v>
      </c>
      <c r="B58" s="859"/>
      <c r="C58" s="150"/>
      <c r="D58" s="310"/>
      <c r="E58" s="147"/>
      <c r="F58" s="147"/>
      <c r="G58" s="147"/>
      <c r="H58" s="299"/>
      <c r="J58" s="297"/>
    </row>
    <row r="59" spans="1:10" x14ac:dyDescent="0.25">
      <c r="A59" s="527" t="s">
        <v>10</v>
      </c>
      <c r="B59" s="541"/>
      <c r="C59" s="710"/>
      <c r="D59" s="744">
        <f>SUM(D56:D58)</f>
        <v>0</v>
      </c>
      <c r="E59" s="147"/>
      <c r="F59" s="147"/>
      <c r="G59" s="147"/>
      <c r="H59" s="299"/>
      <c r="J59" s="297"/>
    </row>
    <row r="60" spans="1:10" x14ac:dyDescent="0.25">
      <c r="A60" s="74"/>
      <c r="B60" s="147"/>
      <c r="C60" s="147"/>
      <c r="D60" s="409"/>
      <c r="E60" s="147"/>
      <c r="F60" s="147"/>
      <c r="G60" s="147"/>
      <c r="H60" s="299"/>
      <c r="J60" s="297"/>
    </row>
    <row r="61" spans="1:10" x14ac:dyDescent="0.25">
      <c r="A61" s="365" t="s">
        <v>94</v>
      </c>
      <c r="B61" s="88"/>
      <c r="C61" s="88"/>
      <c r="D61" s="101" t="s">
        <v>503</v>
      </c>
      <c r="E61" s="147"/>
      <c r="F61" s="147"/>
      <c r="G61" s="147"/>
      <c r="H61" s="299"/>
      <c r="J61" s="297"/>
    </row>
    <row r="62" spans="1:10" x14ac:dyDescent="0.25">
      <c r="A62" s="379" t="s">
        <v>91</v>
      </c>
      <c r="B62" s="859"/>
      <c r="C62" s="936"/>
      <c r="D62" s="310"/>
      <c r="E62" s="147"/>
      <c r="F62" s="147"/>
      <c r="G62" s="147"/>
      <c r="H62" s="299"/>
      <c r="J62" s="297"/>
    </row>
    <row r="63" spans="1:10" x14ac:dyDescent="0.25">
      <c r="A63" s="379" t="s">
        <v>92</v>
      </c>
      <c r="B63" s="859"/>
      <c r="C63" s="936"/>
      <c r="D63" s="310"/>
      <c r="E63" s="147"/>
      <c r="F63" s="147"/>
      <c r="G63" s="147"/>
      <c r="H63" s="299"/>
      <c r="J63" s="297"/>
    </row>
    <row r="64" spans="1:10" x14ac:dyDescent="0.25">
      <c r="A64" s="379" t="s">
        <v>93</v>
      </c>
      <c r="B64" s="859"/>
      <c r="C64" s="150"/>
      <c r="D64" s="310"/>
      <c r="E64" s="147"/>
      <c r="F64" s="147"/>
      <c r="G64" s="147"/>
      <c r="H64" s="299"/>
      <c r="J64" s="297"/>
    </row>
    <row r="65" spans="1:11" x14ac:dyDescent="0.25">
      <c r="A65" s="527" t="s">
        <v>10</v>
      </c>
      <c r="B65" s="541"/>
      <c r="C65" s="710"/>
      <c r="D65" s="744">
        <f>SUM(D62:D64)</f>
        <v>0</v>
      </c>
      <c r="E65" s="147"/>
      <c r="F65" s="147"/>
      <c r="G65" s="147"/>
      <c r="H65" s="299"/>
      <c r="J65" s="297"/>
    </row>
    <row r="66" spans="1:11" x14ac:dyDescent="0.25">
      <c r="A66" s="74"/>
      <c r="B66" s="147"/>
      <c r="C66" s="147"/>
      <c r="D66" s="409"/>
      <c r="E66" s="147"/>
      <c r="F66" s="147"/>
      <c r="G66" s="147"/>
      <c r="H66" s="299"/>
      <c r="J66" s="297"/>
    </row>
    <row r="67" spans="1:11" x14ac:dyDescent="0.25">
      <c r="A67" s="375" t="s">
        <v>95</v>
      </c>
      <c r="B67" s="308"/>
      <c r="C67" s="308"/>
      <c r="D67" s="429">
        <f>D65+D59</f>
        <v>0</v>
      </c>
      <c r="E67" s="147"/>
      <c r="F67" s="147"/>
      <c r="G67" s="147"/>
      <c r="H67" s="299"/>
      <c r="J67" s="297"/>
    </row>
    <row r="68" spans="1:11" x14ac:dyDescent="0.25">
      <c r="A68" s="298"/>
      <c r="B68" s="147"/>
      <c r="C68" s="147"/>
      <c r="D68" s="147"/>
      <c r="E68" s="147"/>
      <c r="F68" s="147"/>
      <c r="G68" s="147"/>
      <c r="H68" s="299"/>
      <c r="J68" s="297"/>
    </row>
    <row r="69" spans="1:11" x14ac:dyDescent="0.25">
      <c r="A69" s="298"/>
      <c r="B69" s="147"/>
      <c r="C69" s="147"/>
      <c r="D69" s="147"/>
      <c r="E69" s="147"/>
      <c r="F69" s="147"/>
      <c r="G69" s="147"/>
      <c r="H69" s="299"/>
      <c r="J69" s="297"/>
    </row>
    <row r="70" spans="1:11" ht="21" x14ac:dyDescent="0.35">
      <c r="A70" s="531" t="s">
        <v>232</v>
      </c>
      <c r="B70" s="353"/>
      <c r="C70" s="353"/>
      <c r="D70" s="532" t="s">
        <v>17</v>
      </c>
      <c r="E70" s="532" t="s">
        <v>123</v>
      </c>
      <c r="F70" s="147"/>
      <c r="G70" s="147"/>
      <c r="H70" s="299"/>
      <c r="J70" s="297"/>
    </row>
    <row r="71" spans="1:11" x14ac:dyDescent="0.25">
      <c r="A71" s="396" t="s">
        <v>444</v>
      </c>
      <c r="B71" s="533"/>
      <c r="C71" s="534"/>
      <c r="D71" s="535">
        <v>500</v>
      </c>
      <c r="E71" s="562">
        <f>+D71/D71</f>
        <v>1</v>
      </c>
      <c r="F71" s="147"/>
      <c r="G71" s="147"/>
      <c r="H71" s="299"/>
      <c r="J71" s="297"/>
    </row>
    <row r="72" spans="1:11" x14ac:dyDescent="0.25">
      <c r="A72" s="492" t="s">
        <v>233</v>
      </c>
      <c r="B72" s="536"/>
      <c r="C72" s="565" t="str">
        <f>+Stammdaten!B5</f>
        <v>Wohnheim Musterdorf</v>
      </c>
      <c r="D72" s="564">
        <f>+Stammdaten!B7</f>
        <v>24</v>
      </c>
      <c r="E72" s="563">
        <f>+D72/D71</f>
        <v>4.8000000000000001E-2</v>
      </c>
      <c r="F72" s="147"/>
      <c r="G72" s="147"/>
      <c r="H72" s="299"/>
      <c r="J72" s="297"/>
    </row>
    <row r="73" spans="1:11" x14ac:dyDescent="0.25">
      <c r="A73" s="537"/>
      <c r="B73" s="84"/>
      <c r="C73" s="538"/>
      <c r="D73" s="145"/>
      <c r="E73" s="147"/>
      <c r="F73" s="147"/>
      <c r="G73" s="147"/>
      <c r="H73" s="299"/>
      <c r="J73" s="297"/>
    </row>
    <row r="74" spans="1:11" x14ac:dyDescent="0.25">
      <c r="A74" s="365"/>
      <c r="B74" s="88"/>
      <c r="C74" s="147"/>
      <c r="D74" s="147"/>
      <c r="E74" s="147"/>
      <c r="F74" s="147"/>
      <c r="G74" s="147"/>
      <c r="H74" s="299"/>
      <c r="J74" s="297"/>
    </row>
    <row r="75" spans="1:11" ht="21" x14ac:dyDescent="0.35">
      <c r="A75" s="539" t="s">
        <v>252</v>
      </c>
      <c r="B75" s="540" t="str">
        <f>+Stammdaten!B5</f>
        <v>Wohnheim Musterdorf</v>
      </c>
      <c r="C75" s="147"/>
      <c r="D75" s="147"/>
      <c r="E75" s="147"/>
      <c r="F75" s="147"/>
      <c r="G75" s="147"/>
      <c r="H75" s="299"/>
      <c r="J75" s="297"/>
    </row>
    <row r="76" spans="1:11" ht="18.75" x14ac:dyDescent="0.3">
      <c r="A76" s="375" t="s">
        <v>484</v>
      </c>
      <c r="B76" s="541"/>
      <c r="C76" s="302"/>
      <c r="D76" s="303"/>
      <c r="E76" s="147"/>
      <c r="F76" s="147"/>
      <c r="G76" s="147"/>
      <c r="H76" s="299"/>
      <c r="J76" s="304"/>
    </row>
    <row r="77" spans="1:11" ht="15.75" x14ac:dyDescent="0.25">
      <c r="A77" s="74"/>
      <c r="B77" s="305"/>
      <c r="C77" s="306"/>
      <c r="D77" s="542"/>
      <c r="E77" s="147"/>
      <c r="F77" s="147"/>
      <c r="G77" s="147"/>
      <c r="H77" s="299"/>
    </row>
    <row r="78" spans="1:11" x14ac:dyDescent="0.25">
      <c r="A78" s="307" t="s">
        <v>63</v>
      </c>
      <c r="B78" s="308"/>
      <c r="C78" s="308"/>
      <c r="D78" s="309"/>
      <c r="E78" s="147"/>
      <c r="F78" s="147"/>
      <c r="G78" s="147"/>
      <c r="H78" s="299"/>
    </row>
    <row r="79" spans="1:11" x14ac:dyDescent="0.25">
      <c r="A79" s="76" t="s">
        <v>64</v>
      </c>
      <c r="B79" s="88" t="s">
        <v>65</v>
      </c>
      <c r="C79" s="88"/>
      <c r="D79" s="434">
        <f>+C29*E72</f>
        <v>0</v>
      </c>
      <c r="E79" s="147"/>
      <c r="F79" s="147"/>
      <c r="G79" s="147"/>
      <c r="H79" s="311"/>
      <c r="J79" s="97"/>
      <c r="K79" s="97"/>
    </row>
    <row r="80" spans="1:11" x14ac:dyDescent="0.25">
      <c r="A80" s="76" t="s">
        <v>68</v>
      </c>
      <c r="B80" s="88" t="s">
        <v>69</v>
      </c>
      <c r="C80" s="88"/>
      <c r="D80" s="434">
        <f>+D29*E72</f>
        <v>18624</v>
      </c>
      <c r="E80" s="147"/>
      <c r="F80" s="147"/>
      <c r="G80" s="147"/>
      <c r="H80" s="311"/>
      <c r="J80" s="97"/>
      <c r="K80" s="97"/>
    </row>
    <row r="81" spans="1:11" x14ac:dyDescent="0.25">
      <c r="A81" s="312" t="s">
        <v>70</v>
      </c>
      <c r="B81" s="313" t="s">
        <v>71</v>
      </c>
      <c r="C81" s="314"/>
      <c r="D81" s="434">
        <f>+E29*E72</f>
        <v>15936</v>
      </c>
      <c r="E81" s="295"/>
      <c r="F81" s="295"/>
      <c r="G81" s="147"/>
      <c r="H81" s="311"/>
      <c r="J81" s="97"/>
      <c r="K81" s="97"/>
    </row>
    <row r="82" spans="1:11" x14ac:dyDescent="0.25">
      <c r="A82" s="312" t="s">
        <v>72</v>
      </c>
      <c r="B82" s="313" t="s">
        <v>73</v>
      </c>
      <c r="C82" s="314"/>
      <c r="D82" s="434">
        <f>+F29*E72</f>
        <v>16800</v>
      </c>
      <c r="E82" s="295"/>
      <c r="F82" s="295"/>
      <c r="G82" s="147"/>
      <c r="H82" s="311"/>
      <c r="J82" s="97"/>
      <c r="K82" s="97"/>
    </row>
    <row r="83" spans="1:11" x14ac:dyDescent="0.25">
      <c r="A83" s="76" t="s">
        <v>74</v>
      </c>
      <c r="B83" s="88" t="s">
        <v>75</v>
      </c>
      <c r="C83" s="88"/>
      <c r="D83" s="434">
        <f>+G29*E72</f>
        <v>0</v>
      </c>
      <c r="E83" s="147"/>
      <c r="F83" s="147"/>
      <c r="G83" s="147"/>
      <c r="H83" s="311"/>
      <c r="J83" s="316"/>
      <c r="K83" s="97"/>
    </row>
    <row r="84" spans="1:11" ht="15.75" x14ac:dyDescent="0.25">
      <c r="A84" s="318" t="s">
        <v>76</v>
      </c>
      <c r="B84" s="319"/>
      <c r="C84" s="320"/>
      <c r="D84" s="429">
        <f>SUM(D79:D83)</f>
        <v>51360</v>
      </c>
      <c r="E84" s="147"/>
      <c r="F84" s="147"/>
      <c r="G84" s="147"/>
      <c r="H84" s="299"/>
      <c r="J84" s="140" t="s">
        <v>6</v>
      </c>
      <c r="K84" s="266">
        <f>+H29*E72-D84</f>
        <v>0</v>
      </c>
    </row>
    <row r="85" spans="1:11" ht="15.75" x14ac:dyDescent="0.25">
      <c r="A85" s="323"/>
      <c r="B85" s="305"/>
      <c r="C85" s="306"/>
      <c r="D85" s="324"/>
      <c r="E85" s="147"/>
      <c r="F85" s="147"/>
      <c r="G85" s="147"/>
      <c r="H85" s="299"/>
      <c r="J85" s="322"/>
      <c r="K85" s="97"/>
    </row>
    <row r="86" spans="1:11" ht="15.75" x14ac:dyDescent="0.25">
      <c r="A86" s="318" t="s">
        <v>77</v>
      </c>
      <c r="B86" s="319"/>
      <c r="C86" s="320"/>
      <c r="D86" s="325"/>
      <c r="E86" s="147"/>
      <c r="F86" s="147"/>
      <c r="G86" s="147"/>
      <c r="H86" s="311"/>
      <c r="J86" s="97"/>
      <c r="K86" s="97"/>
    </row>
    <row r="87" spans="1:11" x14ac:dyDescent="0.25">
      <c r="A87" s="76"/>
      <c r="B87" s="88"/>
      <c r="C87" s="326"/>
      <c r="D87" s="328"/>
      <c r="E87" s="147"/>
      <c r="F87" s="147"/>
      <c r="G87" s="147"/>
      <c r="H87" s="311"/>
      <c r="J87" s="97"/>
      <c r="K87" s="97"/>
    </row>
    <row r="88" spans="1:11" x14ac:dyDescent="0.25">
      <c r="A88" s="76" t="str">
        <f t="shared" ref="A88:B90" si="4">A80</f>
        <v>Kostengruppe 300</v>
      </c>
      <c r="B88" s="88" t="str">
        <f t="shared" si="4"/>
        <v>Bauwerk - Baukonstruktion</v>
      </c>
      <c r="C88" s="433">
        <f>+D80/(D80+D81+D82)</f>
        <v>0.36261682242990656</v>
      </c>
      <c r="D88" s="438">
        <f>+C88*D91</f>
        <v>0</v>
      </c>
      <c r="E88" s="329"/>
      <c r="F88" s="329"/>
      <c r="G88" s="147"/>
      <c r="H88" s="335"/>
      <c r="J88" s="322"/>
      <c r="K88" s="97"/>
    </row>
    <row r="89" spans="1:11" x14ac:dyDescent="0.25">
      <c r="A89" s="312" t="str">
        <f t="shared" si="4"/>
        <v>Kostengruppe 400</v>
      </c>
      <c r="B89" s="88" t="str">
        <f t="shared" si="4"/>
        <v>Bauwerk - Technische Anlagen</v>
      </c>
      <c r="C89" s="433">
        <f>+D81/(D80+D81+D82)</f>
        <v>0.3102803738317757</v>
      </c>
      <c r="D89" s="438">
        <f>+C89*$D$91</f>
        <v>0</v>
      </c>
      <c r="E89" s="295"/>
      <c r="F89" s="295"/>
      <c r="G89" s="147"/>
      <c r="H89" s="335"/>
      <c r="J89" s="322"/>
      <c r="K89" s="97"/>
    </row>
    <row r="90" spans="1:11" x14ac:dyDescent="0.25">
      <c r="A90" s="312" t="str">
        <f t="shared" si="4"/>
        <v>Kostengruppe 500</v>
      </c>
      <c r="B90" s="88" t="str">
        <f t="shared" si="4"/>
        <v>Außenanlagen</v>
      </c>
      <c r="C90" s="433">
        <f>+D82/(D80+D81+D82)</f>
        <v>0.32710280373831774</v>
      </c>
      <c r="D90" s="438">
        <f>+C90*$D$91</f>
        <v>0</v>
      </c>
      <c r="E90" s="295"/>
      <c r="F90" s="295"/>
      <c r="G90" s="147"/>
      <c r="H90" s="335"/>
      <c r="J90" s="322"/>
      <c r="K90" s="97"/>
    </row>
    <row r="91" spans="1:11" ht="15.75" x14ac:dyDescent="0.25">
      <c r="A91" s="318" t="s">
        <v>78</v>
      </c>
      <c r="B91" s="319"/>
      <c r="C91" s="439">
        <f>+SUM(C88:C90)</f>
        <v>1</v>
      </c>
      <c r="D91" s="437">
        <f>+B36*E72</f>
        <v>0</v>
      </c>
      <c r="E91" s="147"/>
      <c r="F91" s="147"/>
      <c r="G91" s="147"/>
      <c r="H91" s="336"/>
      <c r="J91" s="140" t="s">
        <v>6</v>
      </c>
      <c r="K91" s="266">
        <f>+B36*E72-D91</f>
        <v>0</v>
      </c>
    </row>
    <row r="92" spans="1:11" x14ac:dyDescent="0.25">
      <c r="A92" s="338"/>
      <c r="B92" s="148"/>
      <c r="C92" s="339"/>
      <c r="D92" s="340"/>
      <c r="E92" s="147"/>
      <c r="F92" s="147"/>
      <c r="G92" s="147"/>
      <c r="H92" s="299"/>
    </row>
    <row r="93" spans="1:11" ht="15.75" x14ac:dyDescent="0.25">
      <c r="A93" s="341" t="s">
        <v>79</v>
      </c>
      <c r="B93" s="319"/>
      <c r="C93" s="320"/>
      <c r="D93" s="342"/>
      <c r="E93" s="147"/>
      <c r="F93" s="147"/>
      <c r="G93" s="147"/>
      <c r="H93" s="299"/>
    </row>
    <row r="94" spans="1:11" x14ac:dyDescent="0.25">
      <c r="A94" s="76" t="str">
        <f>A88</f>
        <v>Kostengruppe 300</v>
      </c>
      <c r="B94" s="88" t="str">
        <f t="shared" ref="B94:B96" si="5">B80</f>
        <v>Bauwerk - Baukonstruktion</v>
      </c>
      <c r="C94" s="433">
        <v>0.02</v>
      </c>
      <c r="D94" s="434">
        <f>(D80-D88)*C94</f>
        <v>372.48</v>
      </c>
      <c r="E94" s="147"/>
      <c r="F94" s="147"/>
      <c r="G94" s="147"/>
      <c r="H94" s="299"/>
    </row>
    <row r="95" spans="1:11" x14ac:dyDescent="0.25">
      <c r="A95" s="312" t="str">
        <f>A89</f>
        <v>Kostengruppe 400</v>
      </c>
      <c r="B95" s="88" t="str">
        <f t="shared" si="5"/>
        <v>Bauwerk - Technische Anlagen</v>
      </c>
      <c r="C95" s="433">
        <v>6.7000000000000004E-2</v>
      </c>
      <c r="D95" s="434">
        <f>(D81-D89)*C95</f>
        <v>1067.712</v>
      </c>
      <c r="E95" s="543"/>
      <c r="F95" s="543"/>
      <c r="G95" s="147"/>
      <c r="H95" s="343"/>
      <c r="J95" s="344"/>
    </row>
    <row r="96" spans="1:11" x14ac:dyDescent="0.25">
      <c r="A96" s="312" t="str">
        <f>A90</f>
        <v>Kostengruppe 500</v>
      </c>
      <c r="B96" s="88" t="str">
        <f t="shared" si="5"/>
        <v>Außenanlagen</v>
      </c>
      <c r="C96" s="433">
        <v>0.04</v>
      </c>
      <c r="D96" s="434">
        <f>(D82-D90)*C96</f>
        <v>672</v>
      </c>
      <c r="E96" s="543"/>
      <c r="F96" s="543"/>
      <c r="G96" s="147"/>
      <c r="H96" s="345"/>
      <c r="J96" s="344"/>
    </row>
    <row r="97" spans="1:11" x14ac:dyDescent="0.25">
      <c r="A97" s="346"/>
      <c r="B97" s="308"/>
      <c r="C97" s="320"/>
      <c r="D97" s="347"/>
      <c r="E97" s="147"/>
      <c r="F97" s="147"/>
      <c r="G97" s="147"/>
      <c r="H97" s="299"/>
    </row>
    <row r="98" spans="1:11" x14ac:dyDescent="0.25">
      <c r="A98" s="312" t="str">
        <f>A83</f>
        <v>Kostengruppe 600</v>
      </c>
      <c r="B98" s="147" t="str">
        <f>B83</f>
        <v>Ausstattung</v>
      </c>
      <c r="C98" s="440">
        <v>0.125</v>
      </c>
      <c r="D98" s="441">
        <f>D83*C98</f>
        <v>0</v>
      </c>
      <c r="E98" s="147"/>
      <c r="F98" s="147"/>
      <c r="G98" s="147"/>
      <c r="H98" s="299"/>
    </row>
    <row r="99" spans="1:11" x14ac:dyDescent="0.25">
      <c r="A99" s="307" t="s">
        <v>80</v>
      </c>
      <c r="B99" s="308"/>
      <c r="C99" s="320"/>
      <c r="D99" s="437">
        <f>SUM(D94:D98)</f>
        <v>2112.192</v>
      </c>
      <c r="E99" s="147"/>
      <c r="F99" s="544"/>
      <c r="G99" s="147"/>
      <c r="H99" s="299"/>
    </row>
    <row r="100" spans="1:11" x14ac:dyDescent="0.25">
      <c r="A100" s="74"/>
      <c r="B100" s="147"/>
      <c r="C100" s="295"/>
      <c r="D100" s="354"/>
      <c r="E100" s="147"/>
      <c r="F100" s="147"/>
      <c r="G100" s="147"/>
      <c r="H100" s="299"/>
    </row>
    <row r="101" spans="1:11" ht="15.75" x14ac:dyDescent="0.25">
      <c r="A101" s="341" t="s">
        <v>87</v>
      </c>
      <c r="B101" s="319"/>
      <c r="C101" s="320"/>
      <c r="D101" s="325"/>
      <c r="E101" s="147"/>
      <c r="F101" s="147"/>
      <c r="G101" s="147"/>
      <c r="H101" s="299"/>
    </row>
    <row r="102" spans="1:11" x14ac:dyDescent="0.25">
      <c r="A102" s="352"/>
      <c r="B102" s="355" t="s">
        <v>88</v>
      </c>
      <c r="C102" s="356"/>
      <c r="D102" s="443">
        <f>D84+-D79</f>
        <v>51360</v>
      </c>
      <c r="E102" s="147"/>
      <c r="F102" s="147"/>
      <c r="G102" s="147"/>
      <c r="H102" s="299"/>
    </row>
    <row r="103" spans="1:11" x14ac:dyDescent="0.25">
      <c r="A103" s="357" t="s">
        <v>86</v>
      </c>
      <c r="B103" s="355" t="s">
        <v>89</v>
      </c>
      <c r="C103" s="358"/>
      <c r="D103" s="444">
        <v>8.0000000000000002E-3</v>
      </c>
      <c r="E103" s="147"/>
      <c r="F103" s="147"/>
      <c r="G103" s="147"/>
      <c r="H103" s="299"/>
    </row>
    <row r="104" spans="1:11" ht="15.75" x14ac:dyDescent="0.25">
      <c r="A104" s="318" t="s">
        <v>90</v>
      </c>
      <c r="B104" s="319"/>
      <c r="C104" s="320"/>
      <c r="D104" s="437">
        <f>D102*D103</f>
        <v>410.88</v>
      </c>
      <c r="E104" s="147"/>
      <c r="F104" s="147"/>
      <c r="G104" s="147"/>
      <c r="H104" s="299"/>
    </row>
    <row r="105" spans="1:11" x14ac:dyDescent="0.25">
      <c r="A105" s="74"/>
      <c r="B105" s="147"/>
      <c r="C105" s="295"/>
      <c r="D105" s="354"/>
      <c r="E105" s="147"/>
      <c r="F105" s="147"/>
      <c r="G105" s="147"/>
      <c r="H105" s="299"/>
    </row>
    <row r="106" spans="1:11" ht="15.95" hidden="1" customHeight="1" x14ac:dyDescent="0.25">
      <c r="A106" s="341" t="s">
        <v>9</v>
      </c>
      <c r="B106" s="319"/>
      <c r="C106" s="320"/>
      <c r="D106" s="325"/>
      <c r="E106" s="147"/>
      <c r="F106" s="147"/>
      <c r="G106" s="147"/>
      <c r="H106" s="299"/>
    </row>
    <row r="107" spans="1:11" ht="15" hidden="1" customHeight="1" x14ac:dyDescent="0.25">
      <c r="A107" s="528" t="s">
        <v>190</v>
      </c>
      <c r="B107" s="88"/>
      <c r="C107" s="366"/>
      <c r="D107" s="101" t="s">
        <v>189</v>
      </c>
      <c r="E107" s="147"/>
      <c r="F107" s="147"/>
      <c r="G107" s="147"/>
      <c r="H107" s="299"/>
    </row>
    <row r="108" spans="1:11" ht="15" hidden="1" customHeight="1" x14ac:dyDescent="0.25">
      <c r="A108" s="545" t="str">
        <f>+A56</f>
        <v>Position 1</v>
      </c>
      <c r="B108" s="360"/>
      <c r="C108" s="361"/>
      <c r="D108" s="381">
        <f>+D56*E72</f>
        <v>0</v>
      </c>
      <c r="E108" s="147"/>
      <c r="F108" s="147"/>
      <c r="G108" s="147"/>
      <c r="H108" s="299"/>
    </row>
    <row r="109" spans="1:11" ht="15" hidden="1" customHeight="1" x14ac:dyDescent="0.25">
      <c r="A109" s="545" t="str">
        <f>+A57</f>
        <v>Position 2</v>
      </c>
      <c r="B109" s="360"/>
      <c r="C109" s="361"/>
      <c r="D109" s="381">
        <f>+D57*E72</f>
        <v>0</v>
      </c>
      <c r="E109" s="147"/>
      <c r="F109" s="147"/>
      <c r="G109" s="147"/>
      <c r="H109" s="299"/>
    </row>
    <row r="110" spans="1:11" ht="15" hidden="1" customHeight="1" x14ac:dyDescent="0.25">
      <c r="A110" s="545" t="str">
        <f>+A58</f>
        <v>Position 3</v>
      </c>
      <c r="B110" s="360"/>
      <c r="C110" s="363"/>
      <c r="D110" s="381">
        <f>+D58*E72</f>
        <v>0</v>
      </c>
      <c r="E110" s="147"/>
      <c r="F110" s="147"/>
      <c r="G110" s="147"/>
      <c r="H110" s="299"/>
    </row>
    <row r="111" spans="1:11" x14ac:dyDescent="0.25">
      <c r="A111" s="375" t="s">
        <v>10</v>
      </c>
      <c r="B111" s="529"/>
      <c r="C111" s="530"/>
      <c r="D111" s="384">
        <f>SUM(D108:D110)</f>
        <v>0</v>
      </c>
      <c r="E111" s="147"/>
      <c r="F111" s="147"/>
      <c r="G111" s="147"/>
      <c r="H111" s="299"/>
      <c r="J111" s="140" t="s">
        <v>6</v>
      </c>
      <c r="K111" s="266">
        <f>+D59*E72-D111</f>
        <v>0</v>
      </c>
    </row>
    <row r="112" spans="1:11" x14ac:dyDescent="0.25">
      <c r="A112" s="546"/>
      <c r="B112" s="145"/>
      <c r="C112" s="294"/>
      <c r="D112" s="547"/>
      <c r="E112" s="147"/>
      <c r="F112" s="147"/>
      <c r="G112" s="147"/>
      <c r="H112" s="299"/>
    </row>
    <row r="113" spans="1:11" x14ac:dyDescent="0.25">
      <c r="A113" s="112" t="s">
        <v>94</v>
      </c>
      <c r="B113" s="114"/>
      <c r="C113" s="548"/>
      <c r="D113" s="549" t="s">
        <v>189</v>
      </c>
      <c r="E113" s="147"/>
      <c r="F113" s="147"/>
      <c r="G113" s="147"/>
      <c r="H113" s="299"/>
    </row>
    <row r="114" spans="1:11" x14ac:dyDescent="0.25">
      <c r="A114" s="545" t="str">
        <f>+A62</f>
        <v>Position 1</v>
      </c>
      <c r="B114" s="360"/>
      <c r="C114" s="361"/>
      <c r="D114" s="450">
        <f>+D62*E72</f>
        <v>0</v>
      </c>
      <c r="E114" s="147"/>
      <c r="F114" s="147"/>
      <c r="G114" s="147"/>
      <c r="H114" s="299"/>
    </row>
    <row r="115" spans="1:11" x14ac:dyDescent="0.25">
      <c r="A115" s="545" t="str">
        <f>+A63</f>
        <v>Position 2</v>
      </c>
      <c r="B115" s="360"/>
      <c r="C115" s="361"/>
      <c r="D115" s="450">
        <f>+D63*E72</f>
        <v>0</v>
      </c>
      <c r="E115" s="147"/>
      <c r="F115" s="147"/>
      <c r="G115" s="147"/>
      <c r="H115" s="299"/>
    </row>
    <row r="116" spans="1:11" x14ac:dyDescent="0.25">
      <c r="A116" s="545" t="str">
        <f>+A64</f>
        <v>Position 3</v>
      </c>
      <c r="B116" s="360"/>
      <c r="C116" s="363"/>
      <c r="D116" s="450">
        <f>+D64*E72</f>
        <v>0</v>
      </c>
      <c r="E116" s="147"/>
      <c r="F116" s="147"/>
      <c r="G116" s="147"/>
      <c r="H116" s="299"/>
    </row>
    <row r="117" spans="1:11" x14ac:dyDescent="0.25">
      <c r="A117" s="375" t="s">
        <v>10</v>
      </c>
      <c r="B117" s="529"/>
      <c r="C117" s="530"/>
      <c r="D117" s="451">
        <f>SUM(D114:D116)</f>
        <v>0</v>
      </c>
      <c r="E117" s="147"/>
      <c r="F117" s="147"/>
      <c r="G117" s="147"/>
      <c r="H117" s="299"/>
      <c r="J117" s="140" t="s">
        <v>6</v>
      </c>
      <c r="K117" s="266">
        <f>+D65*E72-D117</f>
        <v>0</v>
      </c>
    </row>
    <row r="118" spans="1:11" x14ac:dyDescent="0.25">
      <c r="A118" s="74"/>
      <c r="B118" s="147"/>
      <c r="C118" s="295"/>
      <c r="D118" s="349"/>
      <c r="E118" s="147"/>
      <c r="F118" s="147"/>
      <c r="G118" s="147"/>
      <c r="H118" s="299"/>
    </row>
    <row r="119" spans="1:11" ht="15.75" x14ac:dyDescent="0.25">
      <c r="A119" s="341" t="s">
        <v>95</v>
      </c>
      <c r="B119" s="319"/>
      <c r="C119" s="320"/>
      <c r="D119" s="437">
        <f>D117+D111</f>
        <v>0</v>
      </c>
      <c r="E119" s="147"/>
      <c r="F119" s="147"/>
      <c r="G119" s="147"/>
      <c r="H119" s="299"/>
      <c r="J119" s="140" t="s">
        <v>6</v>
      </c>
      <c r="K119" s="266">
        <f>+D67*E72-D119</f>
        <v>0</v>
      </c>
    </row>
    <row r="120" spans="1:11" x14ac:dyDescent="0.25">
      <c r="A120" s="74"/>
      <c r="B120" s="147"/>
      <c r="C120" s="295"/>
      <c r="D120" s="354"/>
      <c r="E120" s="147"/>
      <c r="F120" s="147"/>
      <c r="G120" s="147"/>
      <c r="H120" s="299"/>
    </row>
    <row r="121" spans="1:11" x14ac:dyDescent="0.25">
      <c r="A121" s="74"/>
      <c r="B121" s="147"/>
      <c r="C121" s="295"/>
      <c r="D121" s="354"/>
      <c r="E121" s="147"/>
      <c r="F121" s="147"/>
      <c r="G121" s="147"/>
      <c r="H121" s="299"/>
    </row>
    <row r="122" spans="1:11" ht="15.75" x14ac:dyDescent="0.25">
      <c r="A122" s="341" t="s">
        <v>96</v>
      </c>
      <c r="B122" s="319"/>
      <c r="C122" s="320"/>
      <c r="D122" s="364"/>
      <c r="E122" s="147"/>
      <c r="F122" s="147"/>
      <c r="G122" s="147"/>
      <c r="H122" s="299"/>
    </row>
    <row r="123" spans="1:11" x14ac:dyDescent="0.25">
      <c r="A123" s="365" t="s">
        <v>78</v>
      </c>
      <c r="B123" s="101" t="s">
        <v>191</v>
      </c>
      <c r="C123" s="366"/>
      <c r="D123" s="367"/>
      <c r="E123" s="147"/>
      <c r="F123" s="147"/>
      <c r="G123" s="147"/>
      <c r="H123" s="368"/>
    </row>
    <row r="124" spans="1:11" x14ac:dyDescent="0.25">
      <c r="A124" s="550" t="str">
        <f>+A33</f>
        <v>Position 1</v>
      </c>
      <c r="B124" s="446">
        <f>+B33*E72</f>
        <v>0</v>
      </c>
      <c r="C124" s="371"/>
      <c r="D124" s="372"/>
      <c r="E124" s="147"/>
      <c r="F124" s="147"/>
      <c r="G124" s="147"/>
      <c r="H124" s="373"/>
    </row>
    <row r="125" spans="1:11" x14ac:dyDescent="0.25">
      <c r="A125" s="550" t="str">
        <f>+A34</f>
        <v>Position 2</v>
      </c>
      <c r="B125" s="446">
        <f>+B34*E72</f>
        <v>0</v>
      </c>
      <c r="C125" s="371"/>
      <c r="D125" s="372"/>
      <c r="E125" s="147"/>
      <c r="F125" s="147"/>
      <c r="G125" s="147"/>
      <c r="H125" s="299"/>
    </row>
    <row r="126" spans="1:11" x14ac:dyDescent="0.25">
      <c r="A126" s="550" t="str">
        <f>+A35</f>
        <v>Position 3</v>
      </c>
      <c r="B126" s="446">
        <f>+B35*E72</f>
        <v>0</v>
      </c>
      <c r="C126" s="374"/>
      <c r="D126" s="372"/>
      <c r="E126" s="147"/>
      <c r="F126" s="147"/>
      <c r="G126" s="147"/>
      <c r="H126" s="299"/>
    </row>
    <row r="127" spans="1:11" x14ac:dyDescent="0.25">
      <c r="A127" s="527" t="s">
        <v>78</v>
      </c>
      <c r="B127" s="445">
        <f>SUM(B124:B126)</f>
        <v>0</v>
      </c>
      <c r="C127" s="371"/>
      <c r="D127" s="372"/>
      <c r="E127" s="147"/>
      <c r="F127" s="147"/>
      <c r="G127" s="147"/>
      <c r="H127" s="299"/>
      <c r="J127" s="140" t="s">
        <v>6</v>
      </c>
      <c r="K127" s="266">
        <f>+B36*E72-B127</f>
        <v>0</v>
      </c>
    </row>
    <row r="128" spans="1:11" x14ac:dyDescent="0.25">
      <c r="A128" s="74"/>
      <c r="B128" s="376"/>
      <c r="C128" s="295"/>
      <c r="D128" s="377"/>
      <c r="E128" s="147"/>
      <c r="F128" s="147"/>
      <c r="G128" s="147"/>
      <c r="H128" s="299"/>
    </row>
    <row r="129" spans="1:11" x14ac:dyDescent="0.25">
      <c r="A129" s="365" t="s">
        <v>97</v>
      </c>
      <c r="B129" s="101" t="s">
        <v>191</v>
      </c>
      <c r="C129" s="378" t="s">
        <v>185</v>
      </c>
      <c r="D129" s="367"/>
      <c r="E129" s="147"/>
      <c r="F129" s="147"/>
      <c r="G129" s="147"/>
      <c r="H129" s="299"/>
    </row>
    <row r="130" spans="1:11" x14ac:dyDescent="0.25">
      <c r="A130" s="382" t="str">
        <f>+A39</f>
        <v>Kapitalmarktdarlehen 1</v>
      </c>
      <c r="B130" s="452">
        <f>+B39*E72</f>
        <v>24000</v>
      </c>
      <c r="C130" s="448">
        <f>+C39</f>
        <v>1.7999999999999999E-2</v>
      </c>
      <c r="D130" s="450">
        <f>B130*C130</f>
        <v>431.99999999999994</v>
      </c>
      <c r="E130" s="147"/>
      <c r="F130" s="147"/>
      <c r="G130" s="147"/>
      <c r="H130" s="299"/>
    </row>
    <row r="131" spans="1:11" x14ac:dyDescent="0.25">
      <c r="A131" s="382" t="str">
        <f>+A40</f>
        <v>Kapitalmarktdarlehen 2</v>
      </c>
      <c r="B131" s="452">
        <f>+B40*E72</f>
        <v>0</v>
      </c>
      <c r="C131" s="448">
        <f>+C40</f>
        <v>0</v>
      </c>
      <c r="D131" s="450">
        <f>B131*C131</f>
        <v>0</v>
      </c>
      <c r="E131" s="147"/>
      <c r="F131" s="147"/>
      <c r="G131" s="147"/>
      <c r="H131" s="299"/>
    </row>
    <row r="132" spans="1:11" x14ac:dyDescent="0.25">
      <c r="A132" s="382" t="str">
        <f>+A41</f>
        <v>Grundstück</v>
      </c>
      <c r="B132" s="452">
        <f>+B41*E72</f>
        <v>0</v>
      </c>
      <c r="C132" s="448">
        <f>+C41</f>
        <v>0</v>
      </c>
      <c r="D132" s="450">
        <f>B132*C132</f>
        <v>0</v>
      </c>
      <c r="E132" s="147"/>
      <c r="F132" s="147"/>
      <c r="G132" s="147"/>
      <c r="H132" s="299"/>
    </row>
    <row r="133" spans="1:11" x14ac:dyDescent="0.25">
      <c r="A133" s="382" t="str">
        <f>+A42</f>
        <v>Position 4</v>
      </c>
      <c r="B133" s="452">
        <f>+B42*E72</f>
        <v>0</v>
      </c>
      <c r="C133" s="448">
        <f>+C42</f>
        <v>0</v>
      </c>
      <c r="D133" s="450"/>
      <c r="E133" s="147"/>
      <c r="F133" s="147"/>
      <c r="G133" s="147"/>
      <c r="H133" s="299"/>
    </row>
    <row r="134" spans="1:11" x14ac:dyDescent="0.25">
      <c r="A134" s="527" t="s">
        <v>98</v>
      </c>
      <c r="B134" s="445">
        <f>SUM(B130:B133)</f>
        <v>24000</v>
      </c>
      <c r="C134" s="449">
        <f>((B132*C132)+(B130*C130)+(B133*C133)+(B131*C131))/B134</f>
        <v>1.7999999999999999E-2</v>
      </c>
      <c r="D134" s="451">
        <f>SUM(D130:D133)</f>
        <v>431.99999999999994</v>
      </c>
      <c r="E134" s="147"/>
      <c r="F134" s="147"/>
      <c r="G134" s="147"/>
      <c r="H134" s="299"/>
      <c r="J134" s="140" t="s">
        <v>6</v>
      </c>
      <c r="K134" s="266">
        <f>+B43*E72-B134</f>
        <v>0</v>
      </c>
    </row>
    <row r="135" spans="1:11" x14ac:dyDescent="0.25">
      <c r="A135" s="74"/>
      <c r="B135" s="147"/>
      <c r="C135" s="295"/>
      <c r="D135" s="349"/>
      <c r="E135" s="147"/>
      <c r="F135" s="147"/>
      <c r="G135" s="147"/>
      <c r="H135" s="299"/>
    </row>
    <row r="136" spans="1:11" x14ac:dyDescent="0.25">
      <c r="A136" s="365" t="s">
        <v>99</v>
      </c>
      <c r="B136" s="101" t="s">
        <v>191</v>
      </c>
      <c r="C136" s="378" t="s">
        <v>185</v>
      </c>
      <c r="D136" s="385"/>
      <c r="E136" s="147"/>
      <c r="F136" s="147"/>
      <c r="G136" s="147"/>
      <c r="H136" s="299"/>
    </row>
    <row r="137" spans="1:11" x14ac:dyDescent="0.25">
      <c r="A137" s="386" t="str">
        <f>+A46</f>
        <v>Eigenmittel</v>
      </c>
      <c r="B137" s="452">
        <f>+D84-B127-B134-B138-B139-B140</f>
        <v>27360</v>
      </c>
      <c r="C137" s="561">
        <v>1.4999999999999999E-2</v>
      </c>
      <c r="D137" s="454">
        <f>B137*C137</f>
        <v>410.4</v>
      </c>
      <c r="E137" s="147"/>
      <c r="F137" s="147"/>
      <c r="G137" s="147"/>
      <c r="H137" s="299"/>
    </row>
    <row r="138" spans="1:11" x14ac:dyDescent="0.25">
      <c r="A138" s="386" t="str">
        <f>+A47</f>
        <v>EM-Ersatz (z.B. Aktion Mensch)</v>
      </c>
      <c r="B138" s="446">
        <f>+B47*E72</f>
        <v>0</v>
      </c>
      <c r="C138" s="561">
        <v>0</v>
      </c>
      <c r="D138" s="454">
        <f>B138*C138</f>
        <v>0</v>
      </c>
      <c r="E138" s="147"/>
      <c r="F138" s="147"/>
      <c r="G138" s="147"/>
      <c r="H138" s="299"/>
    </row>
    <row r="139" spans="1:11" x14ac:dyDescent="0.25">
      <c r="A139" s="386" t="str">
        <f>+A48</f>
        <v>Position 3</v>
      </c>
      <c r="B139" s="446">
        <f>+B48*E72</f>
        <v>0</v>
      </c>
      <c r="C139" s="561">
        <v>1.4999999999999999E-2</v>
      </c>
      <c r="D139" s="454">
        <f>B139*C139</f>
        <v>0</v>
      </c>
      <c r="E139" s="147"/>
      <c r="F139" s="147"/>
      <c r="G139" s="147"/>
      <c r="H139" s="299"/>
    </row>
    <row r="140" spans="1:11" x14ac:dyDescent="0.25">
      <c r="A140" s="386" t="str">
        <f>+A49</f>
        <v>Position 4</v>
      </c>
      <c r="B140" s="446">
        <f>+B49*E72</f>
        <v>0</v>
      </c>
      <c r="C140" s="561">
        <v>1.4999999999999999E-2</v>
      </c>
      <c r="D140" s="454">
        <f>B140*C140</f>
        <v>0</v>
      </c>
      <c r="E140" s="147"/>
      <c r="F140" s="147"/>
      <c r="G140" s="147"/>
      <c r="H140" s="299"/>
    </row>
    <row r="141" spans="1:11" x14ac:dyDescent="0.25">
      <c r="A141" s="527" t="s">
        <v>100</v>
      </c>
      <c r="B141" s="445">
        <f>SUM(B137:B140)</f>
        <v>27360</v>
      </c>
      <c r="C141" s="449">
        <f>((B139*C139)+(B137*C137)+(B140*C140)+(B138*C138))/B141</f>
        <v>1.4999999999999999E-2</v>
      </c>
      <c r="D141" s="455">
        <f>SUM(D137:D140)</f>
        <v>410.4</v>
      </c>
      <c r="E141" s="147"/>
      <c r="F141" s="147"/>
      <c r="G141" s="147"/>
      <c r="H141" s="299"/>
      <c r="J141" s="140" t="s">
        <v>6</v>
      </c>
      <c r="K141" s="266">
        <f>+B50*E72-B141</f>
        <v>0</v>
      </c>
    </row>
    <row r="142" spans="1:11" x14ac:dyDescent="0.25">
      <c r="A142" s="388"/>
      <c r="B142" s="389"/>
      <c r="C142" s="390"/>
      <c r="D142" s="391"/>
      <c r="E142" s="147"/>
      <c r="F142" s="147"/>
      <c r="G142" s="147"/>
      <c r="H142" s="299"/>
      <c r="J142" s="392"/>
    </row>
    <row r="143" spans="1:11" ht="15.75" x14ac:dyDescent="0.25">
      <c r="A143" s="318" t="s">
        <v>101</v>
      </c>
      <c r="B143" s="456">
        <f>+B127+B134+B141</f>
        <v>51360</v>
      </c>
      <c r="C143" s="308"/>
      <c r="D143" s="429">
        <f>D141+D134</f>
        <v>842.39999999999986</v>
      </c>
      <c r="E143" s="394"/>
      <c r="F143" s="394"/>
      <c r="G143" s="147"/>
      <c r="H143" s="299"/>
      <c r="J143" s="140" t="s">
        <v>6</v>
      </c>
      <c r="K143" s="266">
        <f>+B143-D84</f>
        <v>0</v>
      </c>
    </row>
    <row r="144" spans="1:11" x14ac:dyDescent="0.25">
      <c r="A144" s="74"/>
      <c r="B144" s="147"/>
      <c r="C144" s="295"/>
      <c r="D144" s="354"/>
      <c r="E144" s="147"/>
      <c r="F144" s="147"/>
      <c r="G144" s="147"/>
      <c r="H144" s="299"/>
    </row>
    <row r="145" spans="1:11" ht="15.75" x14ac:dyDescent="0.25">
      <c r="A145" s="318" t="s">
        <v>11</v>
      </c>
      <c r="B145" s="393"/>
      <c r="C145" s="320"/>
      <c r="D145" s="364"/>
      <c r="E145" s="147"/>
      <c r="F145" s="147"/>
      <c r="G145" s="147"/>
      <c r="H145" s="299"/>
    </row>
    <row r="146" spans="1:11" x14ac:dyDescent="0.25">
      <c r="A146" s="113" t="s">
        <v>12</v>
      </c>
      <c r="B146" s="395"/>
      <c r="C146" s="395"/>
      <c r="D146" s="435">
        <f>+D94+D95+D96</f>
        <v>2112.192</v>
      </c>
      <c r="E146" s="147"/>
      <c r="F146" s="147"/>
      <c r="G146" s="147"/>
      <c r="H146" s="299"/>
    </row>
    <row r="147" spans="1:11" x14ac:dyDescent="0.25">
      <c r="A147" s="396" t="s">
        <v>13</v>
      </c>
      <c r="B147" s="150"/>
      <c r="C147" s="150"/>
      <c r="D147" s="435">
        <f>+D98</f>
        <v>0</v>
      </c>
      <c r="E147" s="147"/>
      <c r="F147" s="147"/>
      <c r="G147" s="147"/>
      <c r="H147" s="299"/>
    </row>
    <row r="148" spans="1:11" x14ac:dyDescent="0.25">
      <c r="A148" s="396" t="s">
        <v>14</v>
      </c>
      <c r="B148" s="150"/>
      <c r="C148" s="150"/>
      <c r="D148" s="434">
        <f>+D104</f>
        <v>410.88</v>
      </c>
      <c r="E148" s="147"/>
      <c r="F148" s="147"/>
      <c r="G148" s="147"/>
      <c r="H148" s="299"/>
    </row>
    <row r="149" spans="1:11" x14ac:dyDescent="0.25">
      <c r="A149" s="396" t="s">
        <v>9</v>
      </c>
      <c r="B149" s="150"/>
      <c r="C149" s="150"/>
      <c r="D149" s="434">
        <f>+D119</f>
        <v>0</v>
      </c>
      <c r="E149" s="147"/>
      <c r="F149" s="147"/>
      <c r="G149" s="147"/>
      <c r="H149" s="299"/>
    </row>
    <row r="150" spans="1:11" x14ac:dyDescent="0.25">
      <c r="A150" s="396" t="s">
        <v>15</v>
      </c>
      <c r="B150" s="150"/>
      <c r="C150" s="150"/>
      <c r="D150" s="434">
        <f>+D143</f>
        <v>842.39999999999986</v>
      </c>
      <c r="E150" s="147"/>
      <c r="F150" s="147"/>
      <c r="G150" s="147"/>
      <c r="H150" s="299"/>
    </row>
    <row r="151" spans="1:11" x14ac:dyDescent="0.25">
      <c r="A151" s="307" t="s">
        <v>10</v>
      </c>
      <c r="B151" s="239"/>
      <c r="C151" s="239"/>
      <c r="D151" s="566">
        <f>SUM(D146:D150)</f>
        <v>3365.4719999999998</v>
      </c>
      <c r="E151" s="147"/>
      <c r="F151" s="147"/>
      <c r="G151" s="147"/>
      <c r="H151" s="299"/>
      <c r="J151" s="97"/>
      <c r="K151" s="175"/>
    </row>
    <row r="152" spans="1:11" x14ac:dyDescent="0.25">
      <c r="A152" s="74"/>
      <c r="B152" s="147"/>
      <c r="C152" s="295"/>
      <c r="D152" s="377"/>
      <c r="E152" s="147"/>
      <c r="F152" s="147"/>
      <c r="G152" s="147"/>
      <c r="H152" s="299"/>
    </row>
    <row r="153" spans="1:11" x14ac:dyDescent="0.25">
      <c r="A153" s="352" t="s">
        <v>16</v>
      </c>
      <c r="B153" s="459">
        <v>365</v>
      </c>
      <c r="C153" s="295"/>
      <c r="D153" s="377"/>
      <c r="E153" s="147"/>
      <c r="F153" s="147"/>
      <c r="G153" s="147"/>
      <c r="H153" s="299"/>
    </row>
    <row r="154" spans="1:11" x14ac:dyDescent="0.25">
      <c r="A154" s="352" t="s">
        <v>168</v>
      </c>
      <c r="B154" s="459">
        <f>+Stammdaten!B7</f>
        <v>24</v>
      </c>
      <c r="C154" s="397"/>
      <c r="D154" s="377"/>
      <c r="E154" s="147"/>
      <c r="F154" s="147"/>
      <c r="G154" s="147"/>
      <c r="H154" s="299"/>
    </row>
    <row r="155" spans="1:11" x14ac:dyDescent="0.25">
      <c r="A155" s="352" t="s">
        <v>18</v>
      </c>
      <c r="B155" s="567">
        <f>+'B_1 Geb. Kaltmiete'!B105</f>
        <v>0.96499999999999997</v>
      </c>
      <c r="C155" s="295"/>
      <c r="D155" s="377"/>
      <c r="E155" s="147"/>
      <c r="F155" s="147"/>
      <c r="G155" s="147"/>
      <c r="H155" s="299"/>
    </row>
    <row r="156" spans="1:11" ht="45.75" thickBot="1" x14ac:dyDescent="0.3">
      <c r="A156" s="399" t="s">
        <v>19</v>
      </c>
      <c r="B156" s="568">
        <f>B155*B154*B153</f>
        <v>8453.4</v>
      </c>
      <c r="C156" s="397"/>
      <c r="D156" s="377"/>
      <c r="E156" s="400" t="s">
        <v>22</v>
      </c>
      <c r="F156" s="400" t="s">
        <v>21</v>
      </c>
      <c r="G156" s="147"/>
      <c r="H156" s="299"/>
    </row>
    <row r="157" spans="1:11" ht="15.75" customHeight="1" thickTop="1" x14ac:dyDescent="0.25">
      <c r="A157" s="74"/>
      <c r="B157" s="147"/>
      <c r="C157" s="295"/>
      <c r="D157" s="377"/>
      <c r="E157" s="401"/>
      <c r="F157" s="401"/>
      <c r="G157" s="147"/>
      <c r="H157" s="299"/>
    </row>
    <row r="158" spans="1:11" ht="14.25" customHeight="1" x14ac:dyDescent="0.25">
      <c r="A158" s="318" t="s">
        <v>245</v>
      </c>
      <c r="B158" s="393"/>
      <c r="C158" s="320"/>
      <c r="D158" s="364"/>
      <c r="E158" s="569">
        <v>0</v>
      </c>
      <c r="F158" s="569">
        <v>1</v>
      </c>
      <c r="G158" s="147"/>
      <c r="H158" s="299"/>
    </row>
    <row r="159" spans="1:11" x14ac:dyDescent="0.25">
      <c r="A159" s="402" t="s">
        <v>12</v>
      </c>
      <c r="B159" s="403"/>
      <c r="C159" s="403"/>
      <c r="D159" s="570">
        <f>D146/$B$156</f>
        <v>0.24986301369863015</v>
      </c>
      <c r="E159" s="405"/>
      <c r="F159" s="406"/>
      <c r="G159" s="147"/>
      <c r="H159" s="299"/>
    </row>
    <row r="160" spans="1:11" x14ac:dyDescent="0.25">
      <c r="A160" s="382" t="s">
        <v>13</v>
      </c>
      <c r="B160" s="407"/>
      <c r="C160" s="407"/>
      <c r="D160" s="463">
        <f>D147/$B$156</f>
        <v>0</v>
      </c>
      <c r="E160" s="408"/>
      <c r="F160" s="409"/>
      <c r="G160" s="147"/>
      <c r="H160" s="299"/>
    </row>
    <row r="161" spans="1:8" x14ac:dyDescent="0.25">
      <c r="A161" s="382" t="s">
        <v>14</v>
      </c>
      <c r="B161" s="407"/>
      <c r="C161" s="407"/>
      <c r="D161" s="463">
        <f>D148/$B$156</f>
        <v>4.860529491092342E-2</v>
      </c>
      <c r="E161" s="408"/>
      <c r="F161" s="409"/>
      <c r="G161" s="147"/>
      <c r="H161" s="299"/>
    </row>
    <row r="162" spans="1:8" x14ac:dyDescent="0.25">
      <c r="A162" s="382" t="s">
        <v>9</v>
      </c>
      <c r="B162" s="407"/>
      <c r="C162" s="407"/>
      <c r="D162" s="463">
        <f>D149/$B$156</f>
        <v>0</v>
      </c>
      <c r="E162" s="408"/>
      <c r="F162" s="409"/>
      <c r="G162" s="147"/>
      <c r="H162" s="299"/>
    </row>
    <row r="163" spans="1:8" x14ac:dyDescent="0.25">
      <c r="A163" s="382" t="s">
        <v>15</v>
      </c>
      <c r="B163" s="407"/>
      <c r="C163" s="407"/>
      <c r="D163" s="463">
        <f>D150/$B$156</f>
        <v>9.9652210944708622E-2</v>
      </c>
      <c r="E163" s="408"/>
      <c r="F163" s="409"/>
      <c r="G163" s="147"/>
      <c r="H163" s="299"/>
    </row>
    <row r="164" spans="1:8" ht="15.75" x14ac:dyDescent="0.25">
      <c r="A164" s="410" t="s">
        <v>442</v>
      </c>
      <c r="B164" s="411"/>
      <c r="C164" s="412" t="s">
        <v>62</v>
      </c>
      <c r="D164" s="571">
        <f>SUM(D159:D163)</f>
        <v>0.3981205195542622</v>
      </c>
      <c r="E164" s="552"/>
      <c r="F164" s="414"/>
      <c r="G164" s="147"/>
      <c r="H164" s="299"/>
    </row>
    <row r="165" spans="1:8" ht="15.75" x14ac:dyDescent="0.25">
      <c r="A165" s="410" t="s">
        <v>442</v>
      </c>
      <c r="B165" s="411"/>
      <c r="C165" s="412" t="s">
        <v>107</v>
      </c>
      <c r="D165" s="571">
        <f>+D164*365</f>
        <v>145.3139896373057</v>
      </c>
      <c r="E165" s="415"/>
      <c r="F165" s="416"/>
      <c r="G165" s="147"/>
      <c r="H165" s="299"/>
    </row>
    <row r="166" spans="1:8" ht="18.75" x14ac:dyDescent="0.3">
      <c r="A166" s="417" t="s">
        <v>443</v>
      </c>
      <c r="B166" s="418"/>
      <c r="C166" s="238" t="s">
        <v>106</v>
      </c>
      <c r="D166" s="467">
        <f>+D165/12</f>
        <v>12.109499136442141</v>
      </c>
      <c r="E166" s="467">
        <f>+D166*E158</f>
        <v>0</v>
      </c>
      <c r="F166" s="467">
        <f>+D166*F158</f>
        <v>12.109499136442141</v>
      </c>
      <c r="G166" s="395"/>
      <c r="H166" s="553"/>
    </row>
    <row r="167" spans="1:8" x14ac:dyDescent="0.25">
      <c r="A167" s="74"/>
      <c r="B167" s="147"/>
      <c r="C167" s="295"/>
      <c r="D167" s="295"/>
      <c r="E167" s="295"/>
      <c r="F167" s="295"/>
      <c r="G167" s="295"/>
      <c r="H167" s="147"/>
    </row>
  </sheetData>
  <sheetProtection sheet="1" objects="1" scenarios="1"/>
  <mergeCells count="2">
    <mergeCell ref="A4:H4"/>
    <mergeCell ref="A7:B7"/>
  </mergeCells>
  <conditionalFormatting sqref="K29">
    <cfRule type="expression" dxfId="53" priority="11">
      <formula>OR(K29&lt;-0.0009,K29&gt;0.0009)</formula>
    </cfRule>
  </conditionalFormatting>
  <conditionalFormatting sqref="K84">
    <cfRule type="expression" dxfId="52" priority="10">
      <formula>OR(K84&lt;-0.0009,K84&gt;0.0009)</formula>
    </cfRule>
  </conditionalFormatting>
  <conditionalFormatting sqref="K143">
    <cfRule type="expression" dxfId="51" priority="9">
      <formula>OR(K143&lt;-0.0009,K143&gt;0.0009)</formula>
    </cfRule>
  </conditionalFormatting>
  <conditionalFormatting sqref="K91">
    <cfRule type="expression" dxfId="50" priority="8">
      <formula>OR(K91&lt;-0.0009,K91&gt;0.0009)</formula>
    </cfRule>
  </conditionalFormatting>
  <conditionalFormatting sqref="K111">
    <cfRule type="expression" dxfId="49" priority="7">
      <formula>OR(K111&lt;-0.0009,K111&gt;0.0009)</formula>
    </cfRule>
  </conditionalFormatting>
  <conditionalFormatting sqref="K117">
    <cfRule type="expression" dxfId="48" priority="6">
      <formula>OR(K117&lt;-0.0009,K117&gt;0.0009)</formula>
    </cfRule>
  </conditionalFormatting>
  <conditionalFormatting sqref="K119">
    <cfRule type="expression" dxfId="47" priority="5">
      <formula>OR(K119&lt;-0.0009,K119&gt;0.0009)</formula>
    </cfRule>
  </conditionalFormatting>
  <conditionalFormatting sqref="K127">
    <cfRule type="expression" dxfId="46" priority="4">
      <formula>OR(K127&lt;-0.0009,K127&gt;0.0009)</formula>
    </cfRule>
  </conditionalFormatting>
  <conditionalFormatting sqref="K151">
    <cfRule type="expression" dxfId="45" priority="3">
      <formula>OR(K151&lt;-0.0009,K151&gt;0.0009)</formula>
    </cfRule>
  </conditionalFormatting>
  <conditionalFormatting sqref="K134">
    <cfRule type="expression" dxfId="44" priority="2">
      <formula>OR(K134&lt;-0.0009,K134&gt;0.0009)</formula>
    </cfRule>
  </conditionalFormatting>
  <conditionalFormatting sqref="K141">
    <cfRule type="expression" dxfId="43" priority="1">
      <formula>OR(K141&lt;-0.0009,K141&gt;0.0009)</formula>
    </cfRule>
  </conditionalFormatting>
  <pageMargins left="0.7" right="0.7" top="0.78740157499999996" bottom="0.78740157499999996" header="0.3" footer="0.3"/>
  <pageSetup paperSize="9" scale="60" fitToWidth="0" fitToHeight="0" orientation="portrait" r:id="rId1"/>
  <rowBreaks count="2" manualBreakCount="2">
    <brk id="67" max="7" man="1"/>
    <brk id="152" max="7" man="1"/>
  </rowBreaks>
  <colBreaks count="1" manualBreakCount="1">
    <brk id="9"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PSheet"/>
  <dimension ref="A1:I41"/>
  <sheetViews>
    <sheetView zoomScaleNormal="100" workbookViewId="0">
      <selection activeCell="A4" sqref="A4"/>
    </sheetView>
  </sheetViews>
  <sheetFormatPr baseColWidth="10" defaultRowHeight="15" x14ac:dyDescent="0.25"/>
  <cols>
    <col min="1" max="1" width="35.7109375" style="574" customWidth="1"/>
    <col min="2" max="2" width="11.42578125" style="574" customWidth="1"/>
    <col min="3" max="3" width="13.85546875" style="574" customWidth="1"/>
    <col min="4" max="6" width="15.7109375" style="574" customWidth="1"/>
    <col min="7" max="7" width="4.28515625" style="574" customWidth="1"/>
    <col min="8" max="8" width="8.28515625" style="574" customWidth="1"/>
    <col min="9" max="9" width="11.42578125" style="146"/>
    <col min="10" max="250" width="11.42578125" style="574"/>
    <col min="251" max="251" width="35.7109375" style="574" customWidth="1"/>
    <col min="252" max="252" width="15.7109375" style="574" customWidth="1"/>
    <col min="253" max="255" width="0" style="574" hidden="1" customWidth="1"/>
    <col min="256" max="256" width="3.28515625" style="574" customWidth="1"/>
    <col min="257" max="259" width="15.7109375" style="574" customWidth="1"/>
    <col min="260" max="260" width="11.42578125" style="574"/>
    <col min="261" max="261" width="12.85546875" style="574" customWidth="1"/>
    <col min="262" max="262" width="11.42578125" style="574" customWidth="1"/>
    <col min="263" max="506" width="11.42578125" style="574"/>
    <col min="507" max="507" width="35.7109375" style="574" customWidth="1"/>
    <col min="508" max="508" width="15.7109375" style="574" customWidth="1"/>
    <col min="509" max="511" width="0" style="574" hidden="1" customWidth="1"/>
    <col min="512" max="512" width="3.28515625" style="574" customWidth="1"/>
    <col min="513" max="515" width="15.7109375" style="574" customWidth="1"/>
    <col min="516" max="516" width="11.42578125" style="574"/>
    <col min="517" max="517" width="12.85546875" style="574" customWidth="1"/>
    <col min="518" max="518" width="11.42578125" style="574" customWidth="1"/>
    <col min="519" max="762" width="11.42578125" style="574"/>
    <col min="763" max="763" width="35.7109375" style="574" customWidth="1"/>
    <col min="764" max="764" width="15.7109375" style="574" customWidth="1"/>
    <col min="765" max="767" width="0" style="574" hidden="1" customWidth="1"/>
    <col min="768" max="768" width="3.28515625" style="574" customWidth="1"/>
    <col min="769" max="771" width="15.7109375" style="574" customWidth="1"/>
    <col min="772" max="772" width="11.42578125" style="574"/>
    <col min="773" max="773" width="12.85546875" style="574" customWidth="1"/>
    <col min="774" max="774" width="11.42578125" style="574" customWidth="1"/>
    <col min="775" max="1018" width="11.42578125" style="574"/>
    <col min="1019" max="1019" width="35.7109375" style="574" customWidth="1"/>
    <col min="1020" max="1020" width="15.7109375" style="574" customWidth="1"/>
    <col min="1021" max="1023" width="0" style="574" hidden="1" customWidth="1"/>
    <col min="1024" max="1024" width="3.28515625" style="574" customWidth="1"/>
    <col min="1025" max="1027" width="15.7109375" style="574" customWidth="1"/>
    <col min="1028" max="1028" width="11.42578125" style="574"/>
    <col min="1029" max="1029" width="12.85546875" style="574" customWidth="1"/>
    <col min="1030" max="1030" width="11.42578125" style="574" customWidth="1"/>
    <col min="1031" max="1274" width="11.42578125" style="574"/>
    <col min="1275" max="1275" width="35.7109375" style="574" customWidth="1"/>
    <col min="1276" max="1276" width="15.7109375" style="574" customWidth="1"/>
    <col min="1277" max="1279" width="0" style="574" hidden="1" customWidth="1"/>
    <col min="1280" max="1280" width="3.28515625" style="574" customWidth="1"/>
    <col min="1281" max="1283" width="15.7109375" style="574" customWidth="1"/>
    <col min="1284" max="1284" width="11.42578125" style="574"/>
    <col min="1285" max="1285" width="12.85546875" style="574" customWidth="1"/>
    <col min="1286" max="1286" width="11.42578125" style="574" customWidth="1"/>
    <col min="1287" max="1530" width="11.42578125" style="574"/>
    <col min="1531" max="1531" width="35.7109375" style="574" customWidth="1"/>
    <col min="1532" max="1532" width="15.7109375" style="574" customWidth="1"/>
    <col min="1533" max="1535" width="0" style="574" hidden="1" customWidth="1"/>
    <col min="1536" max="1536" width="3.28515625" style="574" customWidth="1"/>
    <col min="1537" max="1539" width="15.7109375" style="574" customWidth="1"/>
    <col min="1540" max="1540" width="11.42578125" style="574"/>
    <col min="1541" max="1541" width="12.85546875" style="574" customWidth="1"/>
    <col min="1542" max="1542" width="11.42578125" style="574" customWidth="1"/>
    <col min="1543" max="1786" width="11.42578125" style="574"/>
    <col min="1787" max="1787" width="35.7109375" style="574" customWidth="1"/>
    <col min="1788" max="1788" width="15.7109375" style="574" customWidth="1"/>
    <col min="1789" max="1791" width="0" style="574" hidden="1" customWidth="1"/>
    <col min="1792" max="1792" width="3.28515625" style="574" customWidth="1"/>
    <col min="1793" max="1795" width="15.7109375" style="574" customWidth="1"/>
    <col min="1796" max="1796" width="11.42578125" style="574"/>
    <col min="1797" max="1797" width="12.85546875" style="574" customWidth="1"/>
    <col min="1798" max="1798" width="11.42578125" style="574" customWidth="1"/>
    <col min="1799" max="2042" width="11.42578125" style="574"/>
    <col min="2043" max="2043" width="35.7109375" style="574" customWidth="1"/>
    <col min="2044" max="2044" width="15.7109375" style="574" customWidth="1"/>
    <col min="2045" max="2047" width="0" style="574" hidden="1" customWidth="1"/>
    <col min="2048" max="2048" width="3.28515625" style="574" customWidth="1"/>
    <col min="2049" max="2051" width="15.7109375" style="574" customWidth="1"/>
    <col min="2052" max="2052" width="11.42578125" style="574"/>
    <col min="2053" max="2053" width="12.85546875" style="574" customWidth="1"/>
    <col min="2054" max="2054" width="11.42578125" style="574" customWidth="1"/>
    <col min="2055" max="2298" width="11.42578125" style="574"/>
    <col min="2299" max="2299" width="35.7109375" style="574" customWidth="1"/>
    <col min="2300" max="2300" width="15.7109375" style="574" customWidth="1"/>
    <col min="2301" max="2303" width="0" style="574" hidden="1" customWidth="1"/>
    <col min="2304" max="2304" width="3.28515625" style="574" customWidth="1"/>
    <col min="2305" max="2307" width="15.7109375" style="574" customWidth="1"/>
    <col min="2308" max="2308" width="11.42578125" style="574"/>
    <col min="2309" max="2309" width="12.85546875" style="574" customWidth="1"/>
    <col min="2310" max="2310" width="11.42578125" style="574" customWidth="1"/>
    <col min="2311" max="2554" width="11.42578125" style="574"/>
    <col min="2555" max="2555" width="35.7109375" style="574" customWidth="1"/>
    <col min="2556" max="2556" width="15.7109375" style="574" customWidth="1"/>
    <col min="2557" max="2559" width="0" style="574" hidden="1" customWidth="1"/>
    <col min="2560" max="2560" width="3.28515625" style="574" customWidth="1"/>
    <col min="2561" max="2563" width="15.7109375" style="574" customWidth="1"/>
    <col min="2564" max="2564" width="11.42578125" style="574"/>
    <col min="2565" max="2565" width="12.85546875" style="574" customWidth="1"/>
    <col min="2566" max="2566" width="11.42578125" style="574" customWidth="1"/>
    <col min="2567" max="2810" width="11.42578125" style="574"/>
    <col min="2811" max="2811" width="35.7109375" style="574" customWidth="1"/>
    <col min="2812" max="2812" width="15.7109375" style="574" customWidth="1"/>
    <col min="2813" max="2815" width="0" style="574" hidden="1" customWidth="1"/>
    <col min="2816" max="2816" width="3.28515625" style="574" customWidth="1"/>
    <col min="2817" max="2819" width="15.7109375" style="574" customWidth="1"/>
    <col min="2820" max="2820" width="11.42578125" style="574"/>
    <col min="2821" max="2821" width="12.85546875" style="574" customWidth="1"/>
    <col min="2822" max="2822" width="11.42578125" style="574" customWidth="1"/>
    <col min="2823" max="3066" width="11.42578125" style="574"/>
    <col min="3067" max="3067" width="35.7109375" style="574" customWidth="1"/>
    <col min="3068" max="3068" width="15.7109375" style="574" customWidth="1"/>
    <col min="3069" max="3071" width="0" style="574" hidden="1" customWidth="1"/>
    <col min="3072" max="3072" width="3.28515625" style="574" customWidth="1"/>
    <col min="3073" max="3075" width="15.7109375" style="574" customWidth="1"/>
    <col min="3076" max="3076" width="11.42578125" style="574"/>
    <col min="3077" max="3077" width="12.85546875" style="574" customWidth="1"/>
    <col min="3078" max="3078" width="11.42578125" style="574" customWidth="1"/>
    <col min="3079" max="3322" width="11.42578125" style="574"/>
    <col min="3323" max="3323" width="35.7109375" style="574" customWidth="1"/>
    <col min="3324" max="3324" width="15.7109375" style="574" customWidth="1"/>
    <col min="3325" max="3327" width="0" style="574" hidden="1" customWidth="1"/>
    <col min="3328" max="3328" width="3.28515625" style="574" customWidth="1"/>
    <col min="3329" max="3331" width="15.7109375" style="574" customWidth="1"/>
    <col min="3332" max="3332" width="11.42578125" style="574"/>
    <col min="3333" max="3333" width="12.85546875" style="574" customWidth="1"/>
    <col min="3334" max="3334" width="11.42578125" style="574" customWidth="1"/>
    <col min="3335" max="3578" width="11.42578125" style="574"/>
    <col min="3579" max="3579" width="35.7109375" style="574" customWidth="1"/>
    <col min="3580" max="3580" width="15.7109375" style="574" customWidth="1"/>
    <col min="3581" max="3583" width="0" style="574" hidden="1" customWidth="1"/>
    <col min="3584" max="3584" width="3.28515625" style="574" customWidth="1"/>
    <col min="3585" max="3587" width="15.7109375" style="574" customWidth="1"/>
    <col min="3588" max="3588" width="11.42578125" style="574"/>
    <col min="3589" max="3589" width="12.85546875" style="574" customWidth="1"/>
    <col min="3590" max="3590" width="11.42578125" style="574" customWidth="1"/>
    <col min="3591" max="3834" width="11.42578125" style="574"/>
    <col min="3835" max="3835" width="35.7109375" style="574" customWidth="1"/>
    <col min="3836" max="3836" width="15.7109375" style="574" customWidth="1"/>
    <col min="3837" max="3839" width="0" style="574" hidden="1" customWidth="1"/>
    <col min="3840" max="3840" width="3.28515625" style="574" customWidth="1"/>
    <col min="3841" max="3843" width="15.7109375" style="574" customWidth="1"/>
    <col min="3844" max="3844" width="11.42578125" style="574"/>
    <col min="3845" max="3845" width="12.85546875" style="574" customWidth="1"/>
    <col min="3846" max="3846" width="11.42578125" style="574" customWidth="1"/>
    <col min="3847" max="4090" width="11.42578125" style="574"/>
    <col min="4091" max="4091" width="35.7109375" style="574" customWidth="1"/>
    <col min="4092" max="4092" width="15.7109375" style="574" customWidth="1"/>
    <col min="4093" max="4095" width="0" style="574" hidden="1" customWidth="1"/>
    <col min="4096" max="4096" width="3.28515625" style="574" customWidth="1"/>
    <col min="4097" max="4099" width="15.7109375" style="574" customWidth="1"/>
    <col min="4100" max="4100" width="11.42578125" style="574"/>
    <col min="4101" max="4101" width="12.85546875" style="574" customWidth="1"/>
    <col min="4102" max="4102" width="11.42578125" style="574" customWidth="1"/>
    <col min="4103" max="4346" width="11.42578125" style="574"/>
    <col min="4347" max="4347" width="35.7109375" style="574" customWidth="1"/>
    <col min="4348" max="4348" width="15.7109375" style="574" customWidth="1"/>
    <col min="4349" max="4351" width="0" style="574" hidden="1" customWidth="1"/>
    <col min="4352" max="4352" width="3.28515625" style="574" customWidth="1"/>
    <col min="4353" max="4355" width="15.7109375" style="574" customWidth="1"/>
    <col min="4356" max="4356" width="11.42578125" style="574"/>
    <col min="4357" max="4357" width="12.85546875" style="574" customWidth="1"/>
    <col min="4358" max="4358" width="11.42578125" style="574" customWidth="1"/>
    <col min="4359" max="4602" width="11.42578125" style="574"/>
    <col min="4603" max="4603" width="35.7109375" style="574" customWidth="1"/>
    <col min="4604" max="4604" width="15.7109375" style="574" customWidth="1"/>
    <col min="4605" max="4607" width="0" style="574" hidden="1" customWidth="1"/>
    <col min="4608" max="4608" width="3.28515625" style="574" customWidth="1"/>
    <col min="4609" max="4611" width="15.7109375" style="574" customWidth="1"/>
    <col min="4612" max="4612" width="11.42578125" style="574"/>
    <col min="4613" max="4613" width="12.85546875" style="574" customWidth="1"/>
    <col min="4614" max="4614" width="11.42578125" style="574" customWidth="1"/>
    <col min="4615" max="4858" width="11.42578125" style="574"/>
    <col min="4859" max="4859" width="35.7109375" style="574" customWidth="1"/>
    <col min="4860" max="4860" width="15.7109375" style="574" customWidth="1"/>
    <col min="4861" max="4863" width="0" style="574" hidden="1" customWidth="1"/>
    <col min="4864" max="4864" width="3.28515625" style="574" customWidth="1"/>
    <col min="4865" max="4867" width="15.7109375" style="574" customWidth="1"/>
    <col min="4868" max="4868" width="11.42578125" style="574"/>
    <col min="4869" max="4869" width="12.85546875" style="574" customWidth="1"/>
    <col min="4870" max="4870" width="11.42578125" style="574" customWidth="1"/>
    <col min="4871" max="5114" width="11.42578125" style="574"/>
    <col min="5115" max="5115" width="35.7109375" style="574" customWidth="1"/>
    <col min="5116" max="5116" width="15.7109375" style="574" customWidth="1"/>
    <col min="5117" max="5119" width="0" style="574" hidden="1" customWidth="1"/>
    <col min="5120" max="5120" width="3.28515625" style="574" customWidth="1"/>
    <col min="5121" max="5123" width="15.7109375" style="574" customWidth="1"/>
    <col min="5124" max="5124" width="11.42578125" style="574"/>
    <col min="5125" max="5125" width="12.85546875" style="574" customWidth="1"/>
    <col min="5126" max="5126" width="11.42578125" style="574" customWidth="1"/>
    <col min="5127" max="5370" width="11.42578125" style="574"/>
    <col min="5371" max="5371" width="35.7109375" style="574" customWidth="1"/>
    <col min="5372" max="5372" width="15.7109375" style="574" customWidth="1"/>
    <col min="5373" max="5375" width="0" style="574" hidden="1" customWidth="1"/>
    <col min="5376" max="5376" width="3.28515625" style="574" customWidth="1"/>
    <col min="5377" max="5379" width="15.7109375" style="574" customWidth="1"/>
    <col min="5380" max="5380" width="11.42578125" style="574"/>
    <col min="5381" max="5381" width="12.85546875" style="574" customWidth="1"/>
    <col min="5382" max="5382" width="11.42578125" style="574" customWidth="1"/>
    <col min="5383" max="5626" width="11.42578125" style="574"/>
    <col min="5627" max="5627" width="35.7109375" style="574" customWidth="1"/>
    <col min="5628" max="5628" width="15.7109375" style="574" customWidth="1"/>
    <col min="5629" max="5631" width="0" style="574" hidden="1" customWidth="1"/>
    <col min="5632" max="5632" width="3.28515625" style="574" customWidth="1"/>
    <col min="5633" max="5635" width="15.7109375" style="574" customWidth="1"/>
    <col min="5636" max="5636" width="11.42578125" style="574"/>
    <col min="5637" max="5637" width="12.85546875" style="574" customWidth="1"/>
    <col min="5638" max="5638" width="11.42578125" style="574" customWidth="1"/>
    <col min="5639" max="5882" width="11.42578125" style="574"/>
    <col min="5883" max="5883" width="35.7109375" style="574" customWidth="1"/>
    <col min="5884" max="5884" width="15.7109375" style="574" customWidth="1"/>
    <col min="5885" max="5887" width="0" style="574" hidden="1" customWidth="1"/>
    <col min="5888" max="5888" width="3.28515625" style="574" customWidth="1"/>
    <col min="5889" max="5891" width="15.7109375" style="574" customWidth="1"/>
    <col min="5892" max="5892" width="11.42578125" style="574"/>
    <col min="5893" max="5893" width="12.85546875" style="574" customWidth="1"/>
    <col min="5894" max="5894" width="11.42578125" style="574" customWidth="1"/>
    <col min="5895" max="6138" width="11.42578125" style="574"/>
    <col min="6139" max="6139" width="35.7109375" style="574" customWidth="1"/>
    <col min="6140" max="6140" width="15.7109375" style="574" customWidth="1"/>
    <col min="6141" max="6143" width="0" style="574" hidden="1" customWidth="1"/>
    <col min="6144" max="6144" width="3.28515625" style="574" customWidth="1"/>
    <col min="6145" max="6147" width="15.7109375" style="574" customWidth="1"/>
    <col min="6148" max="6148" width="11.42578125" style="574"/>
    <col min="6149" max="6149" width="12.85546875" style="574" customWidth="1"/>
    <col min="6150" max="6150" width="11.42578125" style="574" customWidth="1"/>
    <col min="6151" max="6394" width="11.42578125" style="574"/>
    <col min="6395" max="6395" width="35.7109375" style="574" customWidth="1"/>
    <col min="6396" max="6396" width="15.7109375" style="574" customWidth="1"/>
    <col min="6397" max="6399" width="0" style="574" hidden="1" customWidth="1"/>
    <col min="6400" max="6400" width="3.28515625" style="574" customWidth="1"/>
    <col min="6401" max="6403" width="15.7109375" style="574" customWidth="1"/>
    <col min="6404" max="6404" width="11.42578125" style="574"/>
    <col min="6405" max="6405" width="12.85546875" style="574" customWidth="1"/>
    <col min="6406" max="6406" width="11.42578125" style="574" customWidth="1"/>
    <col min="6407" max="6650" width="11.42578125" style="574"/>
    <col min="6651" max="6651" width="35.7109375" style="574" customWidth="1"/>
    <col min="6652" max="6652" width="15.7109375" style="574" customWidth="1"/>
    <col min="6653" max="6655" width="0" style="574" hidden="1" customWidth="1"/>
    <col min="6656" max="6656" width="3.28515625" style="574" customWidth="1"/>
    <col min="6657" max="6659" width="15.7109375" style="574" customWidth="1"/>
    <col min="6660" max="6660" width="11.42578125" style="574"/>
    <col min="6661" max="6661" width="12.85546875" style="574" customWidth="1"/>
    <col min="6662" max="6662" width="11.42578125" style="574" customWidth="1"/>
    <col min="6663" max="6906" width="11.42578125" style="574"/>
    <col min="6907" max="6907" width="35.7109375" style="574" customWidth="1"/>
    <col min="6908" max="6908" width="15.7109375" style="574" customWidth="1"/>
    <col min="6909" max="6911" width="0" style="574" hidden="1" customWidth="1"/>
    <col min="6912" max="6912" width="3.28515625" style="574" customWidth="1"/>
    <col min="6913" max="6915" width="15.7109375" style="574" customWidth="1"/>
    <col min="6916" max="6916" width="11.42578125" style="574"/>
    <col min="6917" max="6917" width="12.85546875" style="574" customWidth="1"/>
    <col min="6918" max="6918" width="11.42578125" style="574" customWidth="1"/>
    <col min="6919" max="7162" width="11.42578125" style="574"/>
    <col min="7163" max="7163" width="35.7109375" style="574" customWidth="1"/>
    <col min="7164" max="7164" width="15.7109375" style="574" customWidth="1"/>
    <col min="7165" max="7167" width="0" style="574" hidden="1" customWidth="1"/>
    <col min="7168" max="7168" width="3.28515625" style="574" customWidth="1"/>
    <col min="7169" max="7171" width="15.7109375" style="574" customWidth="1"/>
    <col min="7172" max="7172" width="11.42578125" style="574"/>
    <col min="7173" max="7173" width="12.85546875" style="574" customWidth="1"/>
    <col min="7174" max="7174" width="11.42578125" style="574" customWidth="1"/>
    <col min="7175" max="7418" width="11.42578125" style="574"/>
    <col min="7419" max="7419" width="35.7109375" style="574" customWidth="1"/>
    <col min="7420" max="7420" width="15.7109375" style="574" customWidth="1"/>
    <col min="7421" max="7423" width="0" style="574" hidden="1" customWidth="1"/>
    <col min="7424" max="7424" width="3.28515625" style="574" customWidth="1"/>
    <col min="7425" max="7427" width="15.7109375" style="574" customWidth="1"/>
    <col min="7428" max="7428" width="11.42578125" style="574"/>
    <col min="7429" max="7429" width="12.85546875" style="574" customWidth="1"/>
    <col min="7430" max="7430" width="11.42578125" style="574" customWidth="1"/>
    <col min="7431" max="7674" width="11.42578125" style="574"/>
    <col min="7675" max="7675" width="35.7109375" style="574" customWidth="1"/>
    <col min="7676" max="7676" width="15.7109375" style="574" customWidth="1"/>
    <col min="7677" max="7679" width="0" style="574" hidden="1" customWidth="1"/>
    <col min="7680" max="7680" width="3.28515625" style="574" customWidth="1"/>
    <col min="7681" max="7683" width="15.7109375" style="574" customWidth="1"/>
    <col min="7684" max="7684" width="11.42578125" style="574"/>
    <col min="7685" max="7685" width="12.85546875" style="574" customWidth="1"/>
    <col min="7686" max="7686" width="11.42578125" style="574" customWidth="1"/>
    <col min="7687" max="7930" width="11.42578125" style="574"/>
    <col min="7931" max="7931" width="35.7109375" style="574" customWidth="1"/>
    <col min="7932" max="7932" width="15.7109375" style="574" customWidth="1"/>
    <col min="7933" max="7935" width="0" style="574" hidden="1" customWidth="1"/>
    <col min="7936" max="7936" width="3.28515625" style="574" customWidth="1"/>
    <col min="7937" max="7939" width="15.7109375" style="574" customWidth="1"/>
    <col min="7940" max="7940" width="11.42578125" style="574"/>
    <col min="7941" max="7941" width="12.85546875" style="574" customWidth="1"/>
    <col min="7942" max="7942" width="11.42578125" style="574" customWidth="1"/>
    <col min="7943" max="8186" width="11.42578125" style="574"/>
    <col min="8187" max="8187" width="35.7109375" style="574" customWidth="1"/>
    <col min="8188" max="8188" width="15.7109375" style="574" customWidth="1"/>
    <col min="8189" max="8191" width="0" style="574" hidden="1" customWidth="1"/>
    <col min="8192" max="8192" width="3.28515625" style="574" customWidth="1"/>
    <col min="8193" max="8195" width="15.7109375" style="574" customWidth="1"/>
    <col min="8196" max="8196" width="11.42578125" style="574"/>
    <col min="8197" max="8197" width="12.85546875" style="574" customWidth="1"/>
    <col min="8198" max="8198" width="11.42578125" style="574" customWidth="1"/>
    <col min="8199" max="8442" width="11.42578125" style="574"/>
    <col min="8443" max="8443" width="35.7109375" style="574" customWidth="1"/>
    <col min="8444" max="8444" width="15.7109375" style="574" customWidth="1"/>
    <col min="8445" max="8447" width="0" style="574" hidden="1" customWidth="1"/>
    <col min="8448" max="8448" width="3.28515625" style="574" customWidth="1"/>
    <col min="8449" max="8451" width="15.7109375" style="574" customWidth="1"/>
    <col min="8452" max="8452" width="11.42578125" style="574"/>
    <col min="8453" max="8453" width="12.85546875" style="574" customWidth="1"/>
    <col min="8454" max="8454" width="11.42578125" style="574" customWidth="1"/>
    <col min="8455" max="8698" width="11.42578125" style="574"/>
    <col min="8699" max="8699" width="35.7109375" style="574" customWidth="1"/>
    <col min="8700" max="8700" width="15.7109375" style="574" customWidth="1"/>
    <col min="8701" max="8703" width="0" style="574" hidden="1" customWidth="1"/>
    <col min="8704" max="8704" width="3.28515625" style="574" customWidth="1"/>
    <col min="8705" max="8707" width="15.7109375" style="574" customWidth="1"/>
    <col min="8708" max="8708" width="11.42578125" style="574"/>
    <col min="8709" max="8709" width="12.85546875" style="574" customWidth="1"/>
    <col min="8710" max="8710" width="11.42578125" style="574" customWidth="1"/>
    <col min="8711" max="8954" width="11.42578125" style="574"/>
    <col min="8955" max="8955" width="35.7109375" style="574" customWidth="1"/>
    <col min="8956" max="8956" width="15.7109375" style="574" customWidth="1"/>
    <col min="8957" max="8959" width="0" style="574" hidden="1" customWidth="1"/>
    <col min="8960" max="8960" width="3.28515625" style="574" customWidth="1"/>
    <col min="8961" max="8963" width="15.7109375" style="574" customWidth="1"/>
    <col min="8964" max="8964" width="11.42578125" style="574"/>
    <col min="8965" max="8965" width="12.85546875" style="574" customWidth="1"/>
    <col min="8966" max="8966" width="11.42578125" style="574" customWidth="1"/>
    <col min="8967" max="9210" width="11.42578125" style="574"/>
    <col min="9211" max="9211" width="35.7109375" style="574" customWidth="1"/>
    <col min="9212" max="9212" width="15.7109375" style="574" customWidth="1"/>
    <col min="9213" max="9215" width="0" style="574" hidden="1" customWidth="1"/>
    <col min="9216" max="9216" width="3.28515625" style="574" customWidth="1"/>
    <col min="9217" max="9219" width="15.7109375" style="574" customWidth="1"/>
    <col min="9220" max="9220" width="11.42578125" style="574"/>
    <col min="9221" max="9221" width="12.85546875" style="574" customWidth="1"/>
    <col min="9222" max="9222" width="11.42578125" style="574" customWidth="1"/>
    <col min="9223" max="9466" width="11.42578125" style="574"/>
    <col min="9467" max="9467" width="35.7109375" style="574" customWidth="1"/>
    <col min="9468" max="9468" width="15.7109375" style="574" customWidth="1"/>
    <col min="9469" max="9471" width="0" style="574" hidden="1" customWidth="1"/>
    <col min="9472" max="9472" width="3.28515625" style="574" customWidth="1"/>
    <col min="9473" max="9475" width="15.7109375" style="574" customWidth="1"/>
    <col min="9476" max="9476" width="11.42578125" style="574"/>
    <col min="9477" max="9477" width="12.85546875" style="574" customWidth="1"/>
    <col min="9478" max="9478" width="11.42578125" style="574" customWidth="1"/>
    <col min="9479" max="9722" width="11.42578125" style="574"/>
    <col min="9723" max="9723" width="35.7109375" style="574" customWidth="1"/>
    <col min="9724" max="9724" width="15.7109375" style="574" customWidth="1"/>
    <col min="9725" max="9727" width="0" style="574" hidden="1" customWidth="1"/>
    <col min="9728" max="9728" width="3.28515625" style="574" customWidth="1"/>
    <col min="9729" max="9731" width="15.7109375" style="574" customWidth="1"/>
    <col min="9732" max="9732" width="11.42578125" style="574"/>
    <col min="9733" max="9733" width="12.85546875" style="574" customWidth="1"/>
    <col min="9734" max="9734" width="11.42578125" style="574" customWidth="1"/>
    <col min="9735" max="9978" width="11.42578125" style="574"/>
    <col min="9979" max="9979" width="35.7109375" style="574" customWidth="1"/>
    <col min="9980" max="9980" width="15.7109375" style="574" customWidth="1"/>
    <col min="9981" max="9983" width="0" style="574" hidden="1" customWidth="1"/>
    <col min="9984" max="9984" width="3.28515625" style="574" customWidth="1"/>
    <col min="9985" max="9987" width="15.7109375" style="574" customWidth="1"/>
    <col min="9988" max="9988" width="11.42578125" style="574"/>
    <col min="9989" max="9989" width="12.85546875" style="574" customWidth="1"/>
    <col min="9990" max="9990" width="11.42578125" style="574" customWidth="1"/>
    <col min="9991" max="10234" width="11.42578125" style="574"/>
    <col min="10235" max="10235" width="35.7109375" style="574" customWidth="1"/>
    <col min="10236" max="10236" width="15.7109375" style="574" customWidth="1"/>
    <col min="10237" max="10239" width="0" style="574" hidden="1" customWidth="1"/>
    <col min="10240" max="10240" width="3.28515625" style="574" customWidth="1"/>
    <col min="10241" max="10243" width="15.7109375" style="574" customWidth="1"/>
    <col min="10244" max="10244" width="11.42578125" style="574"/>
    <col min="10245" max="10245" width="12.85546875" style="574" customWidth="1"/>
    <col min="10246" max="10246" width="11.42578125" style="574" customWidth="1"/>
    <col min="10247" max="10490" width="11.42578125" style="574"/>
    <col min="10491" max="10491" width="35.7109375" style="574" customWidth="1"/>
    <col min="10492" max="10492" width="15.7109375" style="574" customWidth="1"/>
    <col min="10493" max="10495" width="0" style="574" hidden="1" customWidth="1"/>
    <col min="10496" max="10496" width="3.28515625" style="574" customWidth="1"/>
    <col min="10497" max="10499" width="15.7109375" style="574" customWidth="1"/>
    <col min="10500" max="10500" width="11.42578125" style="574"/>
    <col min="10501" max="10501" width="12.85546875" style="574" customWidth="1"/>
    <col min="10502" max="10502" width="11.42578125" style="574" customWidth="1"/>
    <col min="10503" max="10746" width="11.42578125" style="574"/>
    <col min="10747" max="10747" width="35.7109375" style="574" customWidth="1"/>
    <col min="10748" max="10748" width="15.7109375" style="574" customWidth="1"/>
    <col min="10749" max="10751" width="0" style="574" hidden="1" customWidth="1"/>
    <col min="10752" max="10752" width="3.28515625" style="574" customWidth="1"/>
    <col min="10753" max="10755" width="15.7109375" style="574" customWidth="1"/>
    <col min="10756" max="10756" width="11.42578125" style="574"/>
    <col min="10757" max="10757" width="12.85546875" style="574" customWidth="1"/>
    <col min="10758" max="10758" width="11.42578125" style="574" customWidth="1"/>
    <col min="10759" max="11002" width="11.42578125" style="574"/>
    <col min="11003" max="11003" width="35.7109375" style="574" customWidth="1"/>
    <col min="11004" max="11004" width="15.7109375" style="574" customWidth="1"/>
    <col min="11005" max="11007" width="0" style="574" hidden="1" customWidth="1"/>
    <col min="11008" max="11008" width="3.28515625" style="574" customWidth="1"/>
    <col min="11009" max="11011" width="15.7109375" style="574" customWidth="1"/>
    <col min="11012" max="11012" width="11.42578125" style="574"/>
    <col min="11013" max="11013" width="12.85546875" style="574" customWidth="1"/>
    <col min="11014" max="11014" width="11.42578125" style="574" customWidth="1"/>
    <col min="11015" max="11258" width="11.42578125" style="574"/>
    <col min="11259" max="11259" width="35.7109375" style="574" customWidth="1"/>
    <col min="11260" max="11260" width="15.7109375" style="574" customWidth="1"/>
    <col min="11261" max="11263" width="0" style="574" hidden="1" customWidth="1"/>
    <col min="11264" max="11264" width="3.28515625" style="574" customWidth="1"/>
    <col min="11265" max="11267" width="15.7109375" style="574" customWidth="1"/>
    <col min="11268" max="11268" width="11.42578125" style="574"/>
    <col min="11269" max="11269" width="12.85546875" style="574" customWidth="1"/>
    <col min="11270" max="11270" width="11.42578125" style="574" customWidth="1"/>
    <col min="11271" max="11514" width="11.42578125" style="574"/>
    <col min="11515" max="11515" width="35.7109375" style="574" customWidth="1"/>
    <col min="11516" max="11516" width="15.7109375" style="574" customWidth="1"/>
    <col min="11517" max="11519" width="0" style="574" hidden="1" customWidth="1"/>
    <col min="11520" max="11520" width="3.28515625" style="574" customWidth="1"/>
    <col min="11521" max="11523" width="15.7109375" style="574" customWidth="1"/>
    <col min="11524" max="11524" width="11.42578125" style="574"/>
    <col min="11525" max="11525" width="12.85546875" style="574" customWidth="1"/>
    <col min="11526" max="11526" width="11.42578125" style="574" customWidth="1"/>
    <col min="11527" max="11770" width="11.42578125" style="574"/>
    <col min="11771" max="11771" width="35.7109375" style="574" customWidth="1"/>
    <col min="11772" max="11772" width="15.7109375" style="574" customWidth="1"/>
    <col min="11773" max="11775" width="0" style="574" hidden="1" customWidth="1"/>
    <col min="11776" max="11776" width="3.28515625" style="574" customWidth="1"/>
    <col min="11777" max="11779" width="15.7109375" style="574" customWidth="1"/>
    <col min="11780" max="11780" width="11.42578125" style="574"/>
    <col min="11781" max="11781" width="12.85546875" style="574" customWidth="1"/>
    <col min="11782" max="11782" width="11.42578125" style="574" customWidth="1"/>
    <col min="11783" max="12026" width="11.42578125" style="574"/>
    <col min="12027" max="12027" width="35.7109375" style="574" customWidth="1"/>
    <col min="12028" max="12028" width="15.7109375" style="574" customWidth="1"/>
    <col min="12029" max="12031" width="0" style="574" hidden="1" customWidth="1"/>
    <col min="12032" max="12032" width="3.28515625" style="574" customWidth="1"/>
    <col min="12033" max="12035" width="15.7109375" style="574" customWidth="1"/>
    <col min="12036" max="12036" width="11.42578125" style="574"/>
    <col min="12037" max="12037" width="12.85546875" style="574" customWidth="1"/>
    <col min="12038" max="12038" width="11.42578125" style="574" customWidth="1"/>
    <col min="12039" max="12282" width="11.42578125" style="574"/>
    <col min="12283" max="12283" width="35.7109375" style="574" customWidth="1"/>
    <col min="12284" max="12284" width="15.7109375" style="574" customWidth="1"/>
    <col min="12285" max="12287" width="0" style="574" hidden="1" customWidth="1"/>
    <col min="12288" max="12288" width="3.28515625" style="574" customWidth="1"/>
    <col min="12289" max="12291" width="15.7109375" style="574" customWidth="1"/>
    <col min="12292" max="12292" width="11.42578125" style="574"/>
    <col min="12293" max="12293" width="12.85546875" style="574" customWidth="1"/>
    <col min="12294" max="12294" width="11.42578125" style="574" customWidth="1"/>
    <col min="12295" max="12538" width="11.42578125" style="574"/>
    <col min="12539" max="12539" width="35.7109375" style="574" customWidth="1"/>
    <col min="12540" max="12540" width="15.7109375" style="574" customWidth="1"/>
    <col min="12541" max="12543" width="0" style="574" hidden="1" customWidth="1"/>
    <col min="12544" max="12544" width="3.28515625" style="574" customWidth="1"/>
    <col min="12545" max="12547" width="15.7109375" style="574" customWidth="1"/>
    <col min="12548" max="12548" width="11.42578125" style="574"/>
    <col min="12549" max="12549" width="12.85546875" style="574" customWidth="1"/>
    <col min="12550" max="12550" width="11.42578125" style="574" customWidth="1"/>
    <col min="12551" max="12794" width="11.42578125" style="574"/>
    <col min="12795" max="12795" width="35.7109375" style="574" customWidth="1"/>
    <col min="12796" max="12796" width="15.7109375" style="574" customWidth="1"/>
    <col min="12797" max="12799" width="0" style="574" hidden="1" customWidth="1"/>
    <col min="12800" max="12800" width="3.28515625" style="574" customWidth="1"/>
    <col min="12801" max="12803" width="15.7109375" style="574" customWidth="1"/>
    <col min="12804" max="12804" width="11.42578125" style="574"/>
    <col min="12805" max="12805" width="12.85546875" style="574" customWidth="1"/>
    <col min="12806" max="12806" width="11.42578125" style="574" customWidth="1"/>
    <col min="12807" max="13050" width="11.42578125" style="574"/>
    <col min="13051" max="13051" width="35.7109375" style="574" customWidth="1"/>
    <col min="13052" max="13052" width="15.7109375" style="574" customWidth="1"/>
    <col min="13053" max="13055" width="0" style="574" hidden="1" customWidth="1"/>
    <col min="13056" max="13056" width="3.28515625" style="574" customWidth="1"/>
    <col min="13057" max="13059" width="15.7109375" style="574" customWidth="1"/>
    <col min="13060" max="13060" width="11.42578125" style="574"/>
    <col min="13061" max="13061" width="12.85546875" style="574" customWidth="1"/>
    <col min="13062" max="13062" width="11.42578125" style="574" customWidth="1"/>
    <col min="13063" max="13306" width="11.42578125" style="574"/>
    <col min="13307" max="13307" width="35.7109375" style="574" customWidth="1"/>
    <col min="13308" max="13308" width="15.7109375" style="574" customWidth="1"/>
    <col min="13309" max="13311" width="0" style="574" hidden="1" customWidth="1"/>
    <col min="13312" max="13312" width="3.28515625" style="574" customWidth="1"/>
    <col min="13313" max="13315" width="15.7109375" style="574" customWidth="1"/>
    <col min="13316" max="13316" width="11.42578125" style="574"/>
    <col min="13317" max="13317" width="12.85546875" style="574" customWidth="1"/>
    <col min="13318" max="13318" width="11.42578125" style="574" customWidth="1"/>
    <col min="13319" max="13562" width="11.42578125" style="574"/>
    <col min="13563" max="13563" width="35.7109375" style="574" customWidth="1"/>
    <col min="13564" max="13564" width="15.7109375" style="574" customWidth="1"/>
    <col min="13565" max="13567" width="0" style="574" hidden="1" customWidth="1"/>
    <col min="13568" max="13568" width="3.28515625" style="574" customWidth="1"/>
    <col min="13569" max="13571" width="15.7109375" style="574" customWidth="1"/>
    <col min="13572" max="13572" width="11.42578125" style="574"/>
    <col min="13573" max="13573" width="12.85546875" style="574" customWidth="1"/>
    <col min="13574" max="13574" width="11.42578125" style="574" customWidth="1"/>
    <col min="13575" max="13818" width="11.42578125" style="574"/>
    <col min="13819" max="13819" width="35.7109375" style="574" customWidth="1"/>
    <col min="13820" max="13820" width="15.7109375" style="574" customWidth="1"/>
    <col min="13821" max="13823" width="0" style="574" hidden="1" customWidth="1"/>
    <col min="13824" max="13824" width="3.28515625" style="574" customWidth="1"/>
    <col min="13825" max="13827" width="15.7109375" style="574" customWidth="1"/>
    <col min="13828" max="13828" width="11.42578125" style="574"/>
    <col min="13829" max="13829" width="12.85546875" style="574" customWidth="1"/>
    <col min="13830" max="13830" width="11.42578125" style="574" customWidth="1"/>
    <col min="13831" max="14074" width="11.42578125" style="574"/>
    <col min="14075" max="14075" width="35.7109375" style="574" customWidth="1"/>
    <col min="14076" max="14076" width="15.7109375" style="574" customWidth="1"/>
    <col min="14077" max="14079" width="0" style="574" hidden="1" customWidth="1"/>
    <col min="14080" max="14080" width="3.28515625" style="574" customWidth="1"/>
    <col min="14081" max="14083" width="15.7109375" style="574" customWidth="1"/>
    <col min="14084" max="14084" width="11.42578125" style="574"/>
    <col min="14085" max="14085" width="12.85546875" style="574" customWidth="1"/>
    <col min="14086" max="14086" width="11.42578125" style="574" customWidth="1"/>
    <col min="14087" max="14330" width="11.42578125" style="574"/>
    <col min="14331" max="14331" width="35.7109375" style="574" customWidth="1"/>
    <col min="14332" max="14332" width="15.7109375" style="574" customWidth="1"/>
    <col min="14333" max="14335" width="0" style="574" hidden="1" customWidth="1"/>
    <col min="14336" max="14336" width="3.28515625" style="574" customWidth="1"/>
    <col min="14337" max="14339" width="15.7109375" style="574" customWidth="1"/>
    <col min="14340" max="14340" width="11.42578125" style="574"/>
    <col min="14341" max="14341" width="12.85546875" style="574" customWidth="1"/>
    <col min="14342" max="14342" width="11.42578125" style="574" customWidth="1"/>
    <col min="14343" max="14586" width="11.42578125" style="574"/>
    <col min="14587" max="14587" width="35.7109375" style="574" customWidth="1"/>
    <col min="14588" max="14588" width="15.7109375" style="574" customWidth="1"/>
    <col min="14589" max="14591" width="0" style="574" hidden="1" customWidth="1"/>
    <col min="14592" max="14592" width="3.28515625" style="574" customWidth="1"/>
    <col min="14593" max="14595" width="15.7109375" style="574" customWidth="1"/>
    <col min="14596" max="14596" width="11.42578125" style="574"/>
    <col min="14597" max="14597" width="12.85546875" style="574" customWidth="1"/>
    <col min="14598" max="14598" width="11.42578125" style="574" customWidth="1"/>
    <col min="14599" max="14842" width="11.42578125" style="574"/>
    <col min="14843" max="14843" width="35.7109375" style="574" customWidth="1"/>
    <col min="14844" max="14844" width="15.7109375" style="574" customWidth="1"/>
    <col min="14845" max="14847" width="0" style="574" hidden="1" customWidth="1"/>
    <col min="14848" max="14848" width="3.28515625" style="574" customWidth="1"/>
    <col min="14849" max="14851" width="15.7109375" style="574" customWidth="1"/>
    <col min="14852" max="14852" width="11.42578125" style="574"/>
    <col min="14853" max="14853" width="12.85546875" style="574" customWidth="1"/>
    <col min="14854" max="14854" width="11.42578125" style="574" customWidth="1"/>
    <col min="14855" max="15098" width="11.42578125" style="574"/>
    <col min="15099" max="15099" width="35.7109375" style="574" customWidth="1"/>
    <col min="15100" max="15100" width="15.7109375" style="574" customWidth="1"/>
    <col min="15101" max="15103" width="0" style="574" hidden="1" customWidth="1"/>
    <col min="15104" max="15104" width="3.28515625" style="574" customWidth="1"/>
    <col min="15105" max="15107" width="15.7109375" style="574" customWidth="1"/>
    <col min="15108" max="15108" width="11.42578125" style="574"/>
    <col min="15109" max="15109" width="12.85546875" style="574" customWidth="1"/>
    <col min="15110" max="15110" width="11.42578125" style="574" customWidth="1"/>
    <col min="15111" max="15354" width="11.42578125" style="574"/>
    <col min="15355" max="15355" width="35.7109375" style="574" customWidth="1"/>
    <col min="15356" max="15356" width="15.7109375" style="574" customWidth="1"/>
    <col min="15357" max="15359" width="0" style="574" hidden="1" customWidth="1"/>
    <col min="15360" max="15360" width="3.28515625" style="574" customWidth="1"/>
    <col min="15361" max="15363" width="15.7109375" style="574" customWidth="1"/>
    <col min="15364" max="15364" width="11.42578125" style="574"/>
    <col min="15365" max="15365" width="12.85546875" style="574" customWidth="1"/>
    <col min="15366" max="15366" width="11.42578125" style="574" customWidth="1"/>
    <col min="15367" max="15610" width="11.42578125" style="574"/>
    <col min="15611" max="15611" width="35.7109375" style="574" customWidth="1"/>
    <col min="15612" max="15612" width="15.7109375" style="574" customWidth="1"/>
    <col min="15613" max="15615" width="0" style="574" hidden="1" customWidth="1"/>
    <col min="15616" max="15616" width="3.28515625" style="574" customWidth="1"/>
    <col min="15617" max="15619" width="15.7109375" style="574" customWidth="1"/>
    <col min="15620" max="15620" width="11.42578125" style="574"/>
    <col min="15621" max="15621" width="12.85546875" style="574" customWidth="1"/>
    <col min="15622" max="15622" width="11.42578125" style="574" customWidth="1"/>
    <col min="15623" max="15866" width="11.42578125" style="574"/>
    <col min="15867" max="15867" width="35.7109375" style="574" customWidth="1"/>
    <col min="15868" max="15868" width="15.7109375" style="574" customWidth="1"/>
    <col min="15869" max="15871" width="0" style="574" hidden="1" customWidth="1"/>
    <col min="15872" max="15872" width="3.28515625" style="574" customWidth="1"/>
    <col min="15873" max="15875" width="15.7109375" style="574" customWidth="1"/>
    <col min="15876" max="15876" width="11.42578125" style="574"/>
    <col min="15877" max="15877" width="12.85546875" style="574" customWidth="1"/>
    <col min="15878" max="15878" width="11.42578125" style="574" customWidth="1"/>
    <col min="15879" max="16122" width="11.42578125" style="574"/>
    <col min="16123" max="16123" width="35.7109375" style="574" customWidth="1"/>
    <col min="16124" max="16124" width="15.7109375" style="574" customWidth="1"/>
    <col min="16125" max="16127" width="0" style="574" hidden="1" customWidth="1"/>
    <col min="16128" max="16128" width="3.28515625" style="574" customWidth="1"/>
    <col min="16129" max="16131" width="15.7109375" style="574" customWidth="1"/>
    <col min="16132" max="16132" width="11.42578125" style="574"/>
    <col min="16133" max="16133" width="12.85546875" style="574" customWidth="1"/>
    <col min="16134" max="16134" width="11.42578125" style="574" customWidth="1"/>
    <col min="16135" max="16384" width="11.42578125" style="574"/>
  </cols>
  <sheetData>
    <row r="1" spans="1:9" ht="26.25" x14ac:dyDescent="0.4">
      <c r="A1" s="64" t="s">
        <v>30</v>
      </c>
      <c r="B1" s="572"/>
      <c r="C1" s="572"/>
      <c r="D1" s="572"/>
      <c r="E1" s="572"/>
      <c r="F1" s="573"/>
    </row>
    <row r="2" spans="1:9" ht="26.25" x14ac:dyDescent="0.4">
      <c r="A2" s="575" t="s">
        <v>169</v>
      </c>
      <c r="B2" s="576"/>
      <c r="C2" s="576"/>
      <c r="D2" s="577"/>
      <c r="E2" s="577"/>
      <c r="F2" s="70" t="str">
        <f>+Stammdaten!D2</f>
        <v>Version 1.3</v>
      </c>
    </row>
    <row r="3" spans="1:9" x14ac:dyDescent="0.25">
      <c r="A3" s="643" t="str">
        <f>+Stammdaten!B5</f>
        <v>Wohnheim Musterdorf</v>
      </c>
      <c r="B3" s="473" t="str">
        <f>+Stammdaten!B3</f>
        <v>Beispiel-Landkreis</v>
      </c>
      <c r="C3" s="578"/>
      <c r="D3" s="71" t="s">
        <v>45</v>
      </c>
      <c r="E3" s="509"/>
      <c r="F3" s="72"/>
    </row>
    <row r="4" spans="1:9" ht="21.75" thickBot="1" x14ac:dyDescent="0.4">
      <c r="A4" s="579"/>
      <c r="B4" s="577"/>
      <c r="C4" s="577"/>
      <c r="D4" s="577"/>
      <c r="E4" s="577"/>
      <c r="F4" s="580"/>
    </row>
    <row r="5" spans="1:9" ht="121.5" customHeight="1" thickBot="1" x14ac:dyDescent="0.3">
      <c r="A5" s="980" t="s">
        <v>502</v>
      </c>
      <c r="B5" s="967"/>
      <c r="C5" s="967"/>
      <c r="D5" s="967"/>
      <c r="E5" s="967"/>
      <c r="F5" s="968"/>
    </row>
    <row r="6" spans="1:9" ht="36" customHeight="1" thickBot="1" x14ac:dyDescent="0.3">
      <c r="A6" s="993" t="s">
        <v>495</v>
      </c>
      <c r="B6" s="994"/>
      <c r="C6" s="995"/>
      <c r="D6" s="969" t="s">
        <v>86</v>
      </c>
      <c r="E6" s="908" t="str">
        <f>+IF(D6="x","Anteil persönl.
Wohnfläche","")</f>
        <v>Anteil persönl.
Wohnfläche</v>
      </c>
      <c r="F6" s="909">
        <f>+IF(D6="x",'A Flächen'!E174,"")</f>
        <v>0.81160776118677636</v>
      </c>
      <c r="G6" s="676" t="str">
        <f>+IF(AND(D6="x",D8="x"),"Bitte wählen Sie ENTWEDER Kosten nur für Heimbereich ODER die Kosten für Gesamtgebäude inkl. freier Flächen!","")</f>
        <v/>
      </c>
    </row>
    <row r="7" spans="1:9" ht="30.75" thickBot="1" x14ac:dyDescent="0.3">
      <c r="A7" s="906"/>
      <c r="B7" s="905"/>
      <c r="C7" s="898" t="s">
        <v>475</v>
      </c>
      <c r="D7" s="992"/>
      <c r="E7" s="910" t="str">
        <f>+IF(D6="x","Anteil Fachleist.
Fläche","")</f>
        <v>Anteil Fachleist.
Fläche</v>
      </c>
      <c r="F7" s="911">
        <f>+IF(D6="x",'A Flächen'!E175,"")</f>
        <v>0.18839223881322367</v>
      </c>
      <c r="G7" s="676" t="str">
        <f>+IF(AND(D6="",D8=""),"Bitte wählen Sie ENTWEDER Kosten nur Heimbereich ODER Kosten für Gesamtgebäude inkl. freier Flächen!","")</f>
        <v/>
      </c>
    </row>
    <row r="8" spans="1:9" ht="48" customHeight="1" thickBot="1" x14ac:dyDescent="0.3">
      <c r="A8" s="993" t="s">
        <v>496</v>
      </c>
      <c r="B8" s="994"/>
      <c r="C8" s="995"/>
      <c r="D8" s="969"/>
      <c r="E8" s="912" t="str">
        <f>+IF(D8="x","Anteil persönl.
Wohnfläche","")</f>
        <v/>
      </c>
      <c r="F8" s="913" t="str">
        <f>+IF(D8="x",'A Flächen'!E169,"")</f>
        <v/>
      </c>
      <c r="G8" s="934"/>
    </row>
    <row r="9" spans="1:9" ht="31.5" customHeight="1" thickBot="1" x14ac:dyDescent="0.3">
      <c r="A9" s="907"/>
      <c r="B9" s="905"/>
      <c r="C9" s="898" t="s">
        <v>476</v>
      </c>
      <c r="D9" s="992"/>
      <c r="E9" s="914" t="str">
        <f>+IF(D8="x","Anteil Fachleist.
Fläche","")</f>
        <v/>
      </c>
      <c r="F9" s="915" t="str">
        <f>+IF(D8="x",'A Flächen'!E170,"")</f>
        <v/>
      </c>
      <c r="G9" s="934"/>
    </row>
    <row r="10" spans="1:9" ht="21" x14ac:dyDescent="0.35">
      <c r="A10" s="579"/>
      <c r="B10" s="577"/>
      <c r="C10" s="577"/>
      <c r="D10" s="577"/>
      <c r="E10" s="577"/>
      <c r="F10" s="580"/>
    </row>
    <row r="11" spans="1:9" ht="30" customHeight="1" x14ac:dyDescent="0.25">
      <c r="A11" s="581" t="s">
        <v>109</v>
      </c>
      <c r="B11" s="582"/>
      <c r="C11" s="583" t="s">
        <v>20</v>
      </c>
      <c r="D11" s="584" t="s">
        <v>22</v>
      </c>
      <c r="E11" s="585" t="s">
        <v>192</v>
      </c>
      <c r="F11" s="583" t="s">
        <v>21</v>
      </c>
      <c r="I11" s="574"/>
    </row>
    <row r="12" spans="1:9" ht="15.75" customHeight="1" x14ac:dyDescent="0.25">
      <c r="A12" s="586"/>
      <c r="B12" s="587"/>
      <c r="C12" s="588"/>
      <c r="D12" s="589" t="s">
        <v>110</v>
      </c>
      <c r="E12" s="590" t="s">
        <v>193</v>
      </c>
      <c r="F12" s="588" t="s">
        <v>110</v>
      </c>
      <c r="I12" s="574"/>
    </row>
    <row r="13" spans="1:9" ht="15.75" thickBot="1" x14ac:dyDescent="0.3">
      <c r="A13" s="591" t="s">
        <v>182</v>
      </c>
      <c r="B13" s="592"/>
      <c r="C13" s="593" t="s">
        <v>189</v>
      </c>
      <c r="D13" s="638">
        <f>+IF(D8="x",'A Flächen'!E169,'A Flächen'!E174)</f>
        <v>0.81160776118677636</v>
      </c>
      <c r="E13" s="594"/>
      <c r="F13" s="639">
        <f>+IF(D8="x",'A Flächen'!E170,'A Flächen'!E175)</f>
        <v>0.18839223881322367</v>
      </c>
      <c r="I13" s="574"/>
    </row>
    <row r="14" spans="1:9" x14ac:dyDescent="0.25">
      <c r="A14" s="595" t="s">
        <v>48</v>
      </c>
      <c r="B14" s="596"/>
      <c r="C14" s="597">
        <v>250</v>
      </c>
      <c r="D14" s="630">
        <f t="shared" ref="D14:D31" si="0">+C14*$D$13</f>
        <v>202.90194029669408</v>
      </c>
      <c r="E14" s="631">
        <f>+D14/Stammdaten!$B$7/12</f>
        <v>0.70452062603018772</v>
      </c>
      <c r="F14" s="632">
        <f t="shared" ref="F14:F31" si="1">+C14*$F$13</f>
        <v>47.098059703305921</v>
      </c>
      <c r="I14" s="574"/>
    </row>
    <row r="15" spans="1:9" x14ac:dyDescent="0.25">
      <c r="A15" s="599" t="s">
        <v>49</v>
      </c>
      <c r="B15" s="600"/>
      <c r="C15" s="310">
        <v>5238</v>
      </c>
      <c r="D15" s="633">
        <f t="shared" si="0"/>
        <v>4251.2014530963343</v>
      </c>
      <c r="E15" s="631">
        <f>+D15/Stammdaten!$B$7/12</f>
        <v>14.761116156584494</v>
      </c>
      <c r="F15" s="632">
        <f t="shared" si="1"/>
        <v>986.79854690366562</v>
      </c>
      <c r="I15" s="574"/>
    </row>
    <row r="16" spans="1:9" x14ac:dyDescent="0.25">
      <c r="A16" s="599" t="s">
        <v>50</v>
      </c>
      <c r="B16" s="600"/>
      <c r="C16" s="310">
        <v>8613.58</v>
      </c>
      <c r="D16" s="633">
        <f t="shared" si="0"/>
        <v>6990.8483796031933</v>
      </c>
      <c r="E16" s="631">
        <f>+D16/Stammdaten!$B$7/12</f>
        <v>24.273779095844422</v>
      </c>
      <c r="F16" s="632">
        <f t="shared" si="1"/>
        <v>1622.7316203968071</v>
      </c>
      <c r="I16" s="574"/>
    </row>
    <row r="17" spans="1:9" x14ac:dyDescent="0.25">
      <c r="A17" s="599" t="s">
        <v>51</v>
      </c>
      <c r="B17" s="600"/>
      <c r="C17" s="310">
        <v>2381</v>
      </c>
      <c r="D17" s="633">
        <f t="shared" si="0"/>
        <v>1932.4380793857144</v>
      </c>
      <c r="E17" s="631">
        <f>+D17/Stammdaten!$B$7/12</f>
        <v>6.7098544423115092</v>
      </c>
      <c r="F17" s="632">
        <f t="shared" si="1"/>
        <v>448.56192061428555</v>
      </c>
      <c r="I17" s="574"/>
    </row>
    <row r="18" spans="1:9" x14ac:dyDescent="0.25">
      <c r="A18" s="599" t="s">
        <v>52</v>
      </c>
      <c r="B18" s="600"/>
      <c r="C18" s="310">
        <v>549</v>
      </c>
      <c r="D18" s="633">
        <f t="shared" si="0"/>
        <v>445.57266089154024</v>
      </c>
      <c r="E18" s="631">
        <f>+D18/Stammdaten!$B$7/12</f>
        <v>1.5471272947622925</v>
      </c>
      <c r="F18" s="632">
        <f t="shared" si="1"/>
        <v>103.42733910845979</v>
      </c>
      <c r="I18" s="574"/>
    </row>
    <row r="19" spans="1:9" x14ac:dyDescent="0.25">
      <c r="A19" s="599" t="s">
        <v>53</v>
      </c>
      <c r="B19" s="600"/>
      <c r="C19" s="310"/>
      <c r="D19" s="633">
        <f t="shared" si="0"/>
        <v>0</v>
      </c>
      <c r="E19" s="631">
        <f>+D19/Stammdaten!$B$7/12</f>
        <v>0</v>
      </c>
      <c r="F19" s="632">
        <f t="shared" si="1"/>
        <v>0</v>
      </c>
      <c r="I19" s="574"/>
    </row>
    <row r="20" spans="1:9" x14ac:dyDescent="0.25">
      <c r="A20" s="599" t="s">
        <v>33</v>
      </c>
      <c r="B20" s="600"/>
      <c r="C20" s="310">
        <v>1598.32</v>
      </c>
      <c r="D20" s="633">
        <f t="shared" si="0"/>
        <v>1297.2089168600482</v>
      </c>
      <c r="E20" s="631">
        <f>+D20/Stammdaten!$B$7/12</f>
        <v>4.5041976279862785</v>
      </c>
      <c r="F20" s="632">
        <f t="shared" si="1"/>
        <v>301.11108313995163</v>
      </c>
      <c r="I20" s="574"/>
    </row>
    <row r="21" spans="1:9" x14ac:dyDescent="0.25">
      <c r="A21" s="599" t="s">
        <v>34</v>
      </c>
      <c r="B21" s="600"/>
      <c r="C21" s="310"/>
      <c r="D21" s="633">
        <f t="shared" si="0"/>
        <v>0</v>
      </c>
      <c r="E21" s="631">
        <f>+D21/Stammdaten!$B$7/12</f>
        <v>0</v>
      </c>
      <c r="F21" s="632">
        <f t="shared" si="1"/>
        <v>0</v>
      </c>
      <c r="I21" s="574"/>
    </row>
    <row r="22" spans="1:9" x14ac:dyDescent="0.25">
      <c r="A22" s="601" t="s">
        <v>35</v>
      </c>
      <c r="B22" s="602"/>
      <c r="C22" s="603">
        <v>1723.41</v>
      </c>
      <c r="D22" s="633">
        <f t="shared" si="0"/>
        <v>1398.7329317069023</v>
      </c>
      <c r="E22" s="631">
        <f>+D22/Stammdaten!$B$7/12</f>
        <v>4.8567115684267437</v>
      </c>
      <c r="F22" s="632">
        <f t="shared" si="1"/>
        <v>324.67706829309782</v>
      </c>
      <c r="I22" s="574"/>
    </row>
    <row r="23" spans="1:9" x14ac:dyDescent="0.25">
      <c r="A23" s="601" t="s">
        <v>37</v>
      </c>
      <c r="B23" s="602"/>
      <c r="C23" s="603">
        <v>543.20000000000005</v>
      </c>
      <c r="D23" s="633">
        <f t="shared" si="0"/>
        <v>440.86533587665696</v>
      </c>
      <c r="E23" s="631">
        <f>+D23/Stammdaten!$B$7/12</f>
        <v>1.5307824162383923</v>
      </c>
      <c r="F23" s="632">
        <f t="shared" si="1"/>
        <v>102.3346641233431</v>
      </c>
    </row>
    <row r="24" spans="1:9" x14ac:dyDescent="0.25">
      <c r="A24" s="601" t="s">
        <v>38</v>
      </c>
      <c r="B24" s="602"/>
      <c r="C24" s="603">
        <v>230.54</v>
      </c>
      <c r="D24" s="633">
        <f t="shared" si="0"/>
        <v>187.10805326399941</v>
      </c>
      <c r="E24" s="631">
        <f>+D24/Stammdaten!$B$7/12</f>
        <v>0.64968074049999791</v>
      </c>
      <c r="F24" s="632">
        <f t="shared" si="1"/>
        <v>43.431946736000583</v>
      </c>
    </row>
    <row r="25" spans="1:9" x14ac:dyDescent="0.25">
      <c r="A25" s="601" t="s">
        <v>39</v>
      </c>
      <c r="B25" s="602"/>
      <c r="C25" s="603">
        <v>1302.1099999999999</v>
      </c>
      <c r="D25" s="633">
        <f t="shared" si="0"/>
        <v>1056.8025819189133</v>
      </c>
      <c r="E25" s="631">
        <f>+D25/Stammdaten!$B$7/12</f>
        <v>3.669453409440671</v>
      </c>
      <c r="F25" s="632">
        <f t="shared" si="1"/>
        <v>245.30741808108667</v>
      </c>
    </row>
    <row r="26" spans="1:9" x14ac:dyDescent="0.25">
      <c r="A26" s="601" t="s">
        <v>40</v>
      </c>
      <c r="B26" s="602"/>
      <c r="C26" s="603"/>
      <c r="D26" s="633">
        <f t="shared" si="0"/>
        <v>0</v>
      </c>
      <c r="E26" s="631">
        <f>+D26/Stammdaten!$B$7/12</f>
        <v>0</v>
      </c>
      <c r="F26" s="632">
        <f t="shared" si="1"/>
        <v>0</v>
      </c>
    </row>
    <row r="27" spans="1:9" x14ac:dyDescent="0.25">
      <c r="A27" s="601" t="s">
        <v>208</v>
      </c>
      <c r="B27" s="602"/>
      <c r="C27" s="603">
        <v>600</v>
      </c>
      <c r="D27" s="633">
        <f t="shared" si="0"/>
        <v>486.96465671206579</v>
      </c>
      <c r="E27" s="631">
        <f>+D27/Stammdaten!$B$7/12</f>
        <v>1.6908495024724506</v>
      </c>
      <c r="F27" s="632">
        <f t="shared" si="1"/>
        <v>113.0353432879342</v>
      </c>
    </row>
    <row r="28" spans="1:9" x14ac:dyDescent="0.25">
      <c r="A28" s="601" t="s">
        <v>43</v>
      </c>
      <c r="B28" s="602"/>
      <c r="C28" s="603">
        <v>548</v>
      </c>
      <c r="D28" s="633">
        <f t="shared" si="0"/>
        <v>444.76105313035345</v>
      </c>
      <c r="E28" s="631">
        <f>+D28/Stammdaten!$B$7/12</f>
        <v>1.5443092122581719</v>
      </c>
      <c r="F28" s="632">
        <f t="shared" si="1"/>
        <v>103.23894686964657</v>
      </c>
    </row>
    <row r="29" spans="1:9" ht="30" x14ac:dyDescent="0.25">
      <c r="A29" s="604" t="s">
        <v>56</v>
      </c>
      <c r="B29" s="602"/>
      <c r="C29" s="603">
        <v>1989.85</v>
      </c>
      <c r="D29" s="633">
        <f t="shared" si="0"/>
        <v>1614.9777035975069</v>
      </c>
      <c r="E29" s="631">
        <f>+D29/Stammdaten!$B$7/12</f>
        <v>5.6075614708246766</v>
      </c>
      <c r="F29" s="632">
        <f t="shared" si="1"/>
        <v>374.87229640249313</v>
      </c>
    </row>
    <row r="30" spans="1:9" x14ac:dyDescent="0.25">
      <c r="A30" s="990" t="s">
        <v>170</v>
      </c>
      <c r="B30" s="991"/>
      <c r="C30" s="603">
        <v>12308.59</v>
      </c>
      <c r="D30" s="633">
        <f t="shared" si="0"/>
        <v>9989.7471732659433</v>
      </c>
      <c r="E30" s="631">
        <f>+D30/Stammdaten!$B$7/12</f>
        <v>34.686622129395637</v>
      </c>
      <c r="F30" s="632">
        <f t="shared" si="1"/>
        <v>2318.8428267340569</v>
      </c>
    </row>
    <row r="31" spans="1:9" x14ac:dyDescent="0.25">
      <c r="A31" s="605" t="s">
        <v>54</v>
      </c>
      <c r="B31" s="602"/>
      <c r="C31" s="603">
        <v>7859</v>
      </c>
      <c r="D31" s="634">
        <f t="shared" si="0"/>
        <v>6378.4253951668752</v>
      </c>
      <c r="E31" s="631">
        <f>+D31/Stammdaten!$B$7/12</f>
        <v>22.147310399884983</v>
      </c>
      <c r="F31" s="632">
        <f t="shared" si="1"/>
        <v>1480.5746048331248</v>
      </c>
    </row>
    <row r="32" spans="1:9" ht="15.75" thickBot="1" x14ac:dyDescent="0.3">
      <c r="A32" s="607"/>
      <c r="B32" s="608"/>
      <c r="C32" s="609"/>
      <c r="D32" s="635">
        <f>+C32*$D$13</f>
        <v>0</v>
      </c>
      <c r="E32" s="636">
        <f>+D32/Stammdaten!$B$7/12</f>
        <v>0</v>
      </c>
      <c r="F32" s="637">
        <f t="shared" ref="F32" si="2">+C32*$F$13</f>
        <v>0</v>
      </c>
    </row>
    <row r="33" spans="1:9" ht="15.75" thickBot="1" x14ac:dyDescent="0.3">
      <c r="A33" s="610" t="s">
        <v>209</v>
      </c>
      <c r="B33" s="611"/>
      <c r="C33" s="612"/>
      <c r="D33" s="613"/>
      <c r="E33" s="614"/>
      <c r="F33" s="615"/>
      <c r="H33" s="642" t="s">
        <v>6</v>
      </c>
      <c r="I33" s="266">
        <f>+SUM(D14:D32)/D13-SUM(C14:C32)+SUM(F14:F32)/F13-SUM(C14:C32)</f>
        <v>0</v>
      </c>
    </row>
    <row r="34" spans="1:9" x14ac:dyDescent="0.25">
      <c r="A34" s="601" t="s">
        <v>36</v>
      </c>
      <c r="B34" s="602"/>
      <c r="C34" s="603">
        <v>36158.97</v>
      </c>
      <c r="D34" s="616"/>
      <c r="E34" s="631">
        <f>+D34/Stammdaten!$B$7/12</f>
        <v>0</v>
      </c>
      <c r="F34" s="603">
        <f>+C34</f>
        <v>36158.97</v>
      </c>
      <c r="H34" s="642" t="s">
        <v>6</v>
      </c>
      <c r="I34" s="266">
        <f>+C34-D34-F34</f>
        <v>0</v>
      </c>
    </row>
    <row r="35" spans="1:9" x14ac:dyDescent="0.25">
      <c r="A35" s="605" t="s">
        <v>183</v>
      </c>
      <c r="B35" s="602"/>
      <c r="C35" s="603">
        <v>950</v>
      </c>
      <c r="D35" s="606"/>
      <c r="E35" s="631">
        <f>+D35/Stammdaten!$B$7/12</f>
        <v>0</v>
      </c>
      <c r="F35" s="598">
        <f>+C35</f>
        <v>950</v>
      </c>
      <c r="H35" s="642" t="s">
        <v>6</v>
      </c>
      <c r="I35" s="266">
        <f>+C35-D35-F35</f>
        <v>0</v>
      </c>
    </row>
    <row r="36" spans="1:9" ht="15.75" thickBot="1" x14ac:dyDescent="0.3">
      <c r="A36" s="607"/>
      <c r="B36" s="608"/>
      <c r="C36" s="609"/>
      <c r="D36" s="617"/>
      <c r="E36" s="636">
        <f>+D36/Stammdaten!$B$7/12</f>
        <v>0</v>
      </c>
      <c r="F36" s="609"/>
      <c r="H36" s="642" t="s">
        <v>6</v>
      </c>
      <c r="I36" s="266">
        <f>+C36-D36-F36</f>
        <v>0</v>
      </c>
    </row>
    <row r="37" spans="1:9" x14ac:dyDescent="0.25">
      <c r="A37" s="618" t="s">
        <v>10</v>
      </c>
      <c r="B37" s="619"/>
      <c r="C37" s="640">
        <f>+SUM(C14:C36)</f>
        <v>82843.570000000007</v>
      </c>
      <c r="D37" s="640">
        <f>+SUM(D14:D36)</f>
        <v>37118.556314772744</v>
      </c>
      <c r="E37" s="620"/>
      <c r="F37" s="640">
        <f>+SUM(F14:F36)</f>
        <v>45725.013685227255</v>
      </c>
      <c r="G37" s="621"/>
      <c r="H37" s="625"/>
      <c r="I37" s="625"/>
    </row>
    <row r="38" spans="1:9" x14ac:dyDescent="0.25">
      <c r="A38" s="398" t="s">
        <v>18</v>
      </c>
      <c r="B38" s="534"/>
      <c r="C38" s="641">
        <f>+'B_1 Geb. Kaltmiete'!B105</f>
        <v>0.96499999999999997</v>
      </c>
      <c r="D38" s="622"/>
      <c r="E38" s="623"/>
      <c r="F38" s="623"/>
      <c r="G38" s="624"/>
      <c r="H38" s="625"/>
      <c r="I38" s="625"/>
    </row>
    <row r="39" spans="1:9" x14ac:dyDescent="0.25">
      <c r="A39" s="626"/>
      <c r="B39" s="627" t="s">
        <v>246</v>
      </c>
      <c r="C39" s="429">
        <f>+C37/C38/Stammdaten!B7</f>
        <v>3577.0107944732299</v>
      </c>
      <c r="D39" s="429">
        <f>+D37/C38/Stammdaten!B7</f>
        <v>1602.7010498606539</v>
      </c>
      <c r="E39" s="321"/>
      <c r="F39" s="429">
        <f>+F37/C38/Stammdaten!B7</f>
        <v>1974.3097446125757</v>
      </c>
      <c r="G39" s="621"/>
      <c r="H39" s="903"/>
      <c r="I39" s="574"/>
    </row>
    <row r="40" spans="1:9" ht="18.75" x14ac:dyDescent="0.3">
      <c r="A40" s="628"/>
      <c r="B40" s="629" t="s">
        <v>247</v>
      </c>
      <c r="C40" s="467">
        <f>+C39/12</f>
        <v>298.08423287276918</v>
      </c>
      <c r="D40" s="467">
        <f>+D39/12</f>
        <v>133.55842082172117</v>
      </c>
      <c r="E40" s="419"/>
      <c r="F40" s="467">
        <f>+F39/12</f>
        <v>164.52581205104798</v>
      </c>
      <c r="G40" s="621"/>
      <c r="H40" s="903"/>
      <c r="I40" s="574"/>
    </row>
    <row r="41" spans="1:9" ht="12.75" x14ac:dyDescent="0.2">
      <c r="H41" s="642" t="s">
        <v>6</v>
      </c>
      <c r="I41" s="266">
        <f>(C40*Stammdaten!B7*12)*C38-C37</f>
        <v>0</v>
      </c>
    </row>
  </sheetData>
  <sheetProtection sheet="1" objects="1" scenarios="1"/>
  <dataConsolidate/>
  <mergeCells count="6">
    <mergeCell ref="A30:B30"/>
    <mergeCell ref="A5:F5"/>
    <mergeCell ref="D6:D7"/>
    <mergeCell ref="D8:D9"/>
    <mergeCell ref="A6:C6"/>
    <mergeCell ref="A8:C8"/>
  </mergeCells>
  <conditionalFormatting sqref="I41">
    <cfRule type="expression" dxfId="42" priority="10">
      <formula>OR(I41&lt;-0.0009,I41&gt;0.0009)</formula>
    </cfRule>
  </conditionalFormatting>
  <conditionalFormatting sqref="D6:D7">
    <cfRule type="expression" dxfId="41" priority="8">
      <formula>AND($D$6="x",$D$8="x")</formula>
    </cfRule>
    <cfRule type="expression" dxfId="40" priority="9">
      <formula>$D$8="x"</formula>
    </cfRule>
  </conditionalFormatting>
  <conditionalFormatting sqref="D8:D9">
    <cfRule type="expression" dxfId="39" priority="6">
      <formula>AND($D$6="x",$D$8="x")</formula>
    </cfRule>
    <cfRule type="expression" dxfId="38" priority="7">
      <formula>$D$6="x"</formula>
    </cfRule>
  </conditionalFormatting>
  <conditionalFormatting sqref="I34">
    <cfRule type="expression" dxfId="37" priority="5">
      <formula>OR(I34&lt;-0.0009,I34&gt;0.0009)</formula>
    </cfRule>
  </conditionalFormatting>
  <conditionalFormatting sqref="I35">
    <cfRule type="expression" dxfId="36" priority="4">
      <formula>OR(I35&lt;-0.0009,I35&gt;0.0009)</formula>
    </cfRule>
  </conditionalFormatting>
  <conditionalFormatting sqref="I36">
    <cfRule type="expression" dxfId="35" priority="3">
      <formula>OR(I36&lt;-0.0009,I36&gt;0.0009)</formula>
    </cfRule>
  </conditionalFormatting>
  <conditionalFormatting sqref="I33">
    <cfRule type="expression" dxfId="34" priority="2">
      <formula>OR(I33&lt;-0.0009,I33&gt;0.0009)</formula>
    </cfRule>
  </conditionalFormatting>
  <pageMargins left="0.78740157499999996" right="0.78740157499999996" top="0.984251969" bottom="0.984251969" header="0.4921259845" footer="0.4921259845"/>
  <pageSetup paperSize="9" scale="75" fitToWidth="0" fitToHeight="0"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7"/>
  <sheetViews>
    <sheetView zoomScaleNormal="100" workbookViewId="0">
      <selection activeCell="A5" sqref="A5"/>
    </sheetView>
  </sheetViews>
  <sheetFormatPr baseColWidth="10" defaultRowHeight="15" x14ac:dyDescent="0.25"/>
  <cols>
    <col min="1" max="1" width="35.7109375" style="574" customWidth="1"/>
    <col min="2" max="2" width="12.5703125" style="574" customWidth="1"/>
    <col min="3" max="3" width="13.85546875" style="574" customWidth="1"/>
    <col min="4" max="5" width="15.7109375" style="574" customWidth="1"/>
    <col min="6" max="6" width="5.7109375" style="67" customWidth="1"/>
    <col min="7" max="7" width="8.5703125" style="574" customWidth="1"/>
    <col min="8" max="8" width="8.28515625" style="574" customWidth="1"/>
    <col min="9" max="249" width="11.42578125" style="574"/>
    <col min="250" max="250" width="35.7109375" style="574" customWidth="1"/>
    <col min="251" max="251" width="15.7109375" style="574" customWidth="1"/>
    <col min="252" max="254" width="0" style="574" hidden="1" customWidth="1"/>
    <col min="255" max="255" width="3.28515625" style="574" customWidth="1"/>
    <col min="256" max="258" width="15.7109375" style="574" customWidth="1"/>
    <col min="259" max="259" width="11.42578125" style="574"/>
    <col min="260" max="260" width="12.85546875" style="574" customWidth="1"/>
    <col min="261" max="261" width="11.42578125" style="574" customWidth="1"/>
    <col min="262" max="505" width="11.42578125" style="574"/>
    <col min="506" max="506" width="35.7109375" style="574" customWidth="1"/>
    <col min="507" max="507" width="15.7109375" style="574" customWidth="1"/>
    <col min="508" max="510" width="0" style="574" hidden="1" customWidth="1"/>
    <col min="511" max="511" width="3.28515625" style="574" customWidth="1"/>
    <col min="512" max="514" width="15.7109375" style="574" customWidth="1"/>
    <col min="515" max="515" width="11.42578125" style="574"/>
    <col min="516" max="516" width="12.85546875" style="574" customWidth="1"/>
    <col min="517" max="517" width="11.42578125" style="574" customWidth="1"/>
    <col min="518" max="761" width="11.42578125" style="574"/>
    <col min="762" max="762" width="35.7109375" style="574" customWidth="1"/>
    <col min="763" max="763" width="15.7109375" style="574" customWidth="1"/>
    <col min="764" max="766" width="0" style="574" hidden="1" customWidth="1"/>
    <col min="767" max="767" width="3.28515625" style="574" customWidth="1"/>
    <col min="768" max="770" width="15.7109375" style="574" customWidth="1"/>
    <col min="771" max="771" width="11.42578125" style="574"/>
    <col min="772" max="772" width="12.85546875" style="574" customWidth="1"/>
    <col min="773" max="773" width="11.42578125" style="574" customWidth="1"/>
    <col min="774" max="1017" width="11.42578125" style="574"/>
    <col min="1018" max="1018" width="35.7109375" style="574" customWidth="1"/>
    <col min="1019" max="1019" width="15.7109375" style="574" customWidth="1"/>
    <col min="1020" max="1022" width="0" style="574" hidden="1" customWidth="1"/>
    <col min="1023" max="1023" width="3.28515625" style="574" customWidth="1"/>
    <col min="1024" max="1026" width="15.7109375" style="574" customWidth="1"/>
    <col min="1027" max="1027" width="11.42578125" style="574"/>
    <col min="1028" max="1028" width="12.85546875" style="574" customWidth="1"/>
    <col min="1029" max="1029" width="11.42578125" style="574" customWidth="1"/>
    <col min="1030" max="1273" width="11.42578125" style="574"/>
    <col min="1274" max="1274" width="35.7109375" style="574" customWidth="1"/>
    <col min="1275" max="1275" width="15.7109375" style="574" customWidth="1"/>
    <col min="1276" max="1278" width="0" style="574" hidden="1" customWidth="1"/>
    <col min="1279" max="1279" width="3.28515625" style="574" customWidth="1"/>
    <col min="1280" max="1282" width="15.7109375" style="574" customWidth="1"/>
    <col min="1283" max="1283" width="11.42578125" style="574"/>
    <col min="1284" max="1284" width="12.85546875" style="574" customWidth="1"/>
    <col min="1285" max="1285" width="11.42578125" style="574" customWidth="1"/>
    <col min="1286" max="1529" width="11.42578125" style="574"/>
    <col min="1530" max="1530" width="35.7109375" style="574" customWidth="1"/>
    <col min="1531" max="1531" width="15.7109375" style="574" customWidth="1"/>
    <col min="1532" max="1534" width="0" style="574" hidden="1" customWidth="1"/>
    <col min="1535" max="1535" width="3.28515625" style="574" customWidth="1"/>
    <col min="1536" max="1538" width="15.7109375" style="574" customWidth="1"/>
    <col min="1539" max="1539" width="11.42578125" style="574"/>
    <col min="1540" max="1540" width="12.85546875" style="574" customWidth="1"/>
    <col min="1541" max="1541" width="11.42578125" style="574" customWidth="1"/>
    <col min="1542" max="1785" width="11.42578125" style="574"/>
    <col min="1786" max="1786" width="35.7109375" style="574" customWidth="1"/>
    <col min="1787" max="1787" width="15.7109375" style="574" customWidth="1"/>
    <col min="1788" max="1790" width="0" style="574" hidden="1" customWidth="1"/>
    <col min="1791" max="1791" width="3.28515625" style="574" customWidth="1"/>
    <col min="1792" max="1794" width="15.7109375" style="574" customWidth="1"/>
    <col min="1795" max="1795" width="11.42578125" style="574"/>
    <col min="1796" max="1796" width="12.85546875" style="574" customWidth="1"/>
    <col min="1797" max="1797" width="11.42578125" style="574" customWidth="1"/>
    <col min="1798" max="2041" width="11.42578125" style="574"/>
    <col min="2042" max="2042" width="35.7109375" style="574" customWidth="1"/>
    <col min="2043" max="2043" width="15.7109375" style="574" customWidth="1"/>
    <col min="2044" max="2046" width="0" style="574" hidden="1" customWidth="1"/>
    <col min="2047" max="2047" width="3.28515625" style="574" customWidth="1"/>
    <col min="2048" max="2050" width="15.7109375" style="574" customWidth="1"/>
    <col min="2051" max="2051" width="11.42578125" style="574"/>
    <col min="2052" max="2052" width="12.85546875" style="574" customWidth="1"/>
    <col min="2053" max="2053" width="11.42578125" style="574" customWidth="1"/>
    <col min="2054" max="2297" width="11.42578125" style="574"/>
    <col min="2298" max="2298" width="35.7109375" style="574" customWidth="1"/>
    <col min="2299" max="2299" width="15.7109375" style="574" customWidth="1"/>
    <col min="2300" max="2302" width="0" style="574" hidden="1" customWidth="1"/>
    <col min="2303" max="2303" width="3.28515625" style="574" customWidth="1"/>
    <col min="2304" max="2306" width="15.7109375" style="574" customWidth="1"/>
    <col min="2307" max="2307" width="11.42578125" style="574"/>
    <col min="2308" max="2308" width="12.85546875" style="574" customWidth="1"/>
    <col min="2309" max="2309" width="11.42578125" style="574" customWidth="1"/>
    <col min="2310" max="2553" width="11.42578125" style="574"/>
    <col min="2554" max="2554" width="35.7109375" style="574" customWidth="1"/>
    <col min="2555" max="2555" width="15.7109375" style="574" customWidth="1"/>
    <col min="2556" max="2558" width="0" style="574" hidden="1" customWidth="1"/>
    <col min="2559" max="2559" width="3.28515625" style="574" customWidth="1"/>
    <col min="2560" max="2562" width="15.7109375" style="574" customWidth="1"/>
    <col min="2563" max="2563" width="11.42578125" style="574"/>
    <col min="2564" max="2564" width="12.85546875" style="574" customWidth="1"/>
    <col min="2565" max="2565" width="11.42578125" style="574" customWidth="1"/>
    <col min="2566" max="2809" width="11.42578125" style="574"/>
    <col min="2810" max="2810" width="35.7109375" style="574" customWidth="1"/>
    <col min="2811" max="2811" width="15.7109375" style="574" customWidth="1"/>
    <col min="2812" max="2814" width="0" style="574" hidden="1" customWidth="1"/>
    <col min="2815" max="2815" width="3.28515625" style="574" customWidth="1"/>
    <col min="2816" max="2818" width="15.7109375" style="574" customWidth="1"/>
    <col min="2819" max="2819" width="11.42578125" style="574"/>
    <col min="2820" max="2820" width="12.85546875" style="574" customWidth="1"/>
    <col min="2821" max="2821" width="11.42578125" style="574" customWidth="1"/>
    <col min="2822" max="3065" width="11.42578125" style="574"/>
    <col min="3066" max="3066" width="35.7109375" style="574" customWidth="1"/>
    <col min="3067" max="3067" width="15.7109375" style="574" customWidth="1"/>
    <col min="3068" max="3070" width="0" style="574" hidden="1" customWidth="1"/>
    <col min="3071" max="3071" width="3.28515625" style="574" customWidth="1"/>
    <col min="3072" max="3074" width="15.7109375" style="574" customWidth="1"/>
    <col min="3075" max="3075" width="11.42578125" style="574"/>
    <col min="3076" max="3076" width="12.85546875" style="574" customWidth="1"/>
    <col min="3077" max="3077" width="11.42578125" style="574" customWidth="1"/>
    <col min="3078" max="3321" width="11.42578125" style="574"/>
    <col min="3322" max="3322" width="35.7109375" style="574" customWidth="1"/>
    <col min="3323" max="3323" width="15.7109375" style="574" customWidth="1"/>
    <col min="3324" max="3326" width="0" style="574" hidden="1" customWidth="1"/>
    <col min="3327" max="3327" width="3.28515625" style="574" customWidth="1"/>
    <col min="3328" max="3330" width="15.7109375" style="574" customWidth="1"/>
    <col min="3331" max="3331" width="11.42578125" style="574"/>
    <col min="3332" max="3332" width="12.85546875" style="574" customWidth="1"/>
    <col min="3333" max="3333" width="11.42578125" style="574" customWidth="1"/>
    <col min="3334" max="3577" width="11.42578125" style="574"/>
    <col min="3578" max="3578" width="35.7109375" style="574" customWidth="1"/>
    <col min="3579" max="3579" width="15.7109375" style="574" customWidth="1"/>
    <col min="3580" max="3582" width="0" style="574" hidden="1" customWidth="1"/>
    <col min="3583" max="3583" width="3.28515625" style="574" customWidth="1"/>
    <col min="3584" max="3586" width="15.7109375" style="574" customWidth="1"/>
    <col min="3587" max="3587" width="11.42578125" style="574"/>
    <col min="3588" max="3588" width="12.85546875" style="574" customWidth="1"/>
    <col min="3589" max="3589" width="11.42578125" style="574" customWidth="1"/>
    <col min="3590" max="3833" width="11.42578125" style="574"/>
    <col min="3834" max="3834" width="35.7109375" style="574" customWidth="1"/>
    <col min="3835" max="3835" width="15.7109375" style="574" customWidth="1"/>
    <col min="3836" max="3838" width="0" style="574" hidden="1" customWidth="1"/>
    <col min="3839" max="3839" width="3.28515625" style="574" customWidth="1"/>
    <col min="3840" max="3842" width="15.7109375" style="574" customWidth="1"/>
    <col min="3843" max="3843" width="11.42578125" style="574"/>
    <col min="3844" max="3844" width="12.85546875" style="574" customWidth="1"/>
    <col min="3845" max="3845" width="11.42578125" style="574" customWidth="1"/>
    <col min="3846" max="4089" width="11.42578125" style="574"/>
    <col min="4090" max="4090" width="35.7109375" style="574" customWidth="1"/>
    <col min="4091" max="4091" width="15.7109375" style="574" customWidth="1"/>
    <col min="4092" max="4094" width="0" style="574" hidden="1" customWidth="1"/>
    <col min="4095" max="4095" width="3.28515625" style="574" customWidth="1"/>
    <col min="4096" max="4098" width="15.7109375" style="574" customWidth="1"/>
    <col min="4099" max="4099" width="11.42578125" style="574"/>
    <col min="4100" max="4100" width="12.85546875" style="574" customWidth="1"/>
    <col min="4101" max="4101" width="11.42578125" style="574" customWidth="1"/>
    <col min="4102" max="4345" width="11.42578125" style="574"/>
    <col min="4346" max="4346" width="35.7109375" style="574" customWidth="1"/>
    <col min="4347" max="4347" width="15.7109375" style="574" customWidth="1"/>
    <col min="4348" max="4350" width="0" style="574" hidden="1" customWidth="1"/>
    <col min="4351" max="4351" width="3.28515625" style="574" customWidth="1"/>
    <col min="4352" max="4354" width="15.7109375" style="574" customWidth="1"/>
    <col min="4355" max="4355" width="11.42578125" style="574"/>
    <col min="4356" max="4356" width="12.85546875" style="574" customWidth="1"/>
    <col min="4357" max="4357" width="11.42578125" style="574" customWidth="1"/>
    <col min="4358" max="4601" width="11.42578125" style="574"/>
    <col min="4602" max="4602" width="35.7109375" style="574" customWidth="1"/>
    <col min="4603" max="4603" width="15.7109375" style="574" customWidth="1"/>
    <col min="4604" max="4606" width="0" style="574" hidden="1" customWidth="1"/>
    <col min="4607" max="4607" width="3.28515625" style="574" customWidth="1"/>
    <col min="4608" max="4610" width="15.7109375" style="574" customWidth="1"/>
    <col min="4611" max="4611" width="11.42578125" style="574"/>
    <col min="4612" max="4612" width="12.85546875" style="574" customWidth="1"/>
    <col min="4613" max="4613" width="11.42578125" style="574" customWidth="1"/>
    <col min="4614" max="4857" width="11.42578125" style="574"/>
    <col min="4858" max="4858" width="35.7109375" style="574" customWidth="1"/>
    <col min="4859" max="4859" width="15.7109375" style="574" customWidth="1"/>
    <col min="4860" max="4862" width="0" style="574" hidden="1" customWidth="1"/>
    <col min="4863" max="4863" width="3.28515625" style="574" customWidth="1"/>
    <col min="4864" max="4866" width="15.7109375" style="574" customWidth="1"/>
    <col min="4867" max="4867" width="11.42578125" style="574"/>
    <col min="4868" max="4868" width="12.85546875" style="574" customWidth="1"/>
    <col min="4869" max="4869" width="11.42578125" style="574" customWidth="1"/>
    <col min="4870" max="5113" width="11.42578125" style="574"/>
    <col min="5114" max="5114" width="35.7109375" style="574" customWidth="1"/>
    <col min="5115" max="5115" width="15.7109375" style="574" customWidth="1"/>
    <col min="5116" max="5118" width="0" style="574" hidden="1" customWidth="1"/>
    <col min="5119" max="5119" width="3.28515625" style="574" customWidth="1"/>
    <col min="5120" max="5122" width="15.7109375" style="574" customWidth="1"/>
    <col min="5123" max="5123" width="11.42578125" style="574"/>
    <col min="5124" max="5124" width="12.85546875" style="574" customWidth="1"/>
    <col min="5125" max="5125" width="11.42578125" style="574" customWidth="1"/>
    <col min="5126" max="5369" width="11.42578125" style="574"/>
    <col min="5370" max="5370" width="35.7109375" style="574" customWidth="1"/>
    <col min="5371" max="5371" width="15.7109375" style="574" customWidth="1"/>
    <col min="5372" max="5374" width="0" style="574" hidden="1" customWidth="1"/>
    <col min="5375" max="5375" width="3.28515625" style="574" customWidth="1"/>
    <col min="5376" max="5378" width="15.7109375" style="574" customWidth="1"/>
    <col min="5379" max="5379" width="11.42578125" style="574"/>
    <col min="5380" max="5380" width="12.85546875" style="574" customWidth="1"/>
    <col min="5381" max="5381" width="11.42578125" style="574" customWidth="1"/>
    <col min="5382" max="5625" width="11.42578125" style="574"/>
    <col min="5626" max="5626" width="35.7109375" style="574" customWidth="1"/>
    <col min="5627" max="5627" width="15.7109375" style="574" customWidth="1"/>
    <col min="5628" max="5630" width="0" style="574" hidden="1" customWidth="1"/>
    <col min="5631" max="5631" width="3.28515625" style="574" customWidth="1"/>
    <col min="5632" max="5634" width="15.7109375" style="574" customWidth="1"/>
    <col min="5635" max="5635" width="11.42578125" style="574"/>
    <col min="5636" max="5636" width="12.85546875" style="574" customWidth="1"/>
    <col min="5637" max="5637" width="11.42578125" style="574" customWidth="1"/>
    <col min="5638" max="5881" width="11.42578125" style="574"/>
    <col min="5882" max="5882" width="35.7109375" style="574" customWidth="1"/>
    <col min="5883" max="5883" width="15.7109375" style="574" customWidth="1"/>
    <col min="5884" max="5886" width="0" style="574" hidden="1" customWidth="1"/>
    <col min="5887" max="5887" width="3.28515625" style="574" customWidth="1"/>
    <col min="5888" max="5890" width="15.7109375" style="574" customWidth="1"/>
    <col min="5891" max="5891" width="11.42578125" style="574"/>
    <col min="5892" max="5892" width="12.85546875" style="574" customWidth="1"/>
    <col min="5893" max="5893" width="11.42578125" style="574" customWidth="1"/>
    <col min="5894" max="6137" width="11.42578125" style="574"/>
    <col min="6138" max="6138" width="35.7109375" style="574" customWidth="1"/>
    <col min="6139" max="6139" width="15.7109375" style="574" customWidth="1"/>
    <col min="6140" max="6142" width="0" style="574" hidden="1" customWidth="1"/>
    <col min="6143" max="6143" width="3.28515625" style="574" customWidth="1"/>
    <col min="6144" max="6146" width="15.7109375" style="574" customWidth="1"/>
    <col min="6147" max="6147" width="11.42578125" style="574"/>
    <col min="6148" max="6148" width="12.85546875" style="574" customWidth="1"/>
    <col min="6149" max="6149" width="11.42578125" style="574" customWidth="1"/>
    <col min="6150" max="6393" width="11.42578125" style="574"/>
    <col min="6394" max="6394" width="35.7109375" style="574" customWidth="1"/>
    <col min="6395" max="6395" width="15.7109375" style="574" customWidth="1"/>
    <col min="6396" max="6398" width="0" style="574" hidden="1" customWidth="1"/>
    <col min="6399" max="6399" width="3.28515625" style="574" customWidth="1"/>
    <col min="6400" max="6402" width="15.7109375" style="574" customWidth="1"/>
    <col min="6403" max="6403" width="11.42578125" style="574"/>
    <col min="6404" max="6404" width="12.85546875" style="574" customWidth="1"/>
    <col min="6405" max="6405" width="11.42578125" style="574" customWidth="1"/>
    <col min="6406" max="6649" width="11.42578125" style="574"/>
    <col min="6650" max="6650" width="35.7109375" style="574" customWidth="1"/>
    <col min="6651" max="6651" width="15.7109375" style="574" customWidth="1"/>
    <col min="6652" max="6654" width="0" style="574" hidden="1" customWidth="1"/>
    <col min="6655" max="6655" width="3.28515625" style="574" customWidth="1"/>
    <col min="6656" max="6658" width="15.7109375" style="574" customWidth="1"/>
    <col min="6659" max="6659" width="11.42578125" style="574"/>
    <col min="6660" max="6660" width="12.85546875" style="574" customWidth="1"/>
    <col min="6661" max="6661" width="11.42578125" style="574" customWidth="1"/>
    <col min="6662" max="6905" width="11.42578125" style="574"/>
    <col min="6906" max="6906" width="35.7109375" style="574" customWidth="1"/>
    <col min="6907" max="6907" width="15.7109375" style="574" customWidth="1"/>
    <col min="6908" max="6910" width="0" style="574" hidden="1" customWidth="1"/>
    <col min="6911" max="6911" width="3.28515625" style="574" customWidth="1"/>
    <col min="6912" max="6914" width="15.7109375" style="574" customWidth="1"/>
    <col min="6915" max="6915" width="11.42578125" style="574"/>
    <col min="6916" max="6916" width="12.85546875" style="574" customWidth="1"/>
    <col min="6917" max="6917" width="11.42578125" style="574" customWidth="1"/>
    <col min="6918" max="7161" width="11.42578125" style="574"/>
    <col min="7162" max="7162" width="35.7109375" style="574" customWidth="1"/>
    <col min="7163" max="7163" width="15.7109375" style="574" customWidth="1"/>
    <col min="7164" max="7166" width="0" style="574" hidden="1" customWidth="1"/>
    <col min="7167" max="7167" width="3.28515625" style="574" customWidth="1"/>
    <col min="7168" max="7170" width="15.7109375" style="574" customWidth="1"/>
    <col min="7171" max="7171" width="11.42578125" style="574"/>
    <col min="7172" max="7172" width="12.85546875" style="574" customWidth="1"/>
    <col min="7173" max="7173" width="11.42578125" style="574" customWidth="1"/>
    <col min="7174" max="7417" width="11.42578125" style="574"/>
    <col min="7418" max="7418" width="35.7109375" style="574" customWidth="1"/>
    <col min="7419" max="7419" width="15.7109375" style="574" customWidth="1"/>
    <col min="7420" max="7422" width="0" style="574" hidden="1" customWidth="1"/>
    <col min="7423" max="7423" width="3.28515625" style="574" customWidth="1"/>
    <col min="7424" max="7426" width="15.7109375" style="574" customWidth="1"/>
    <col min="7427" max="7427" width="11.42578125" style="574"/>
    <col min="7428" max="7428" width="12.85546875" style="574" customWidth="1"/>
    <col min="7429" max="7429" width="11.42578125" style="574" customWidth="1"/>
    <col min="7430" max="7673" width="11.42578125" style="574"/>
    <col min="7674" max="7674" width="35.7109375" style="574" customWidth="1"/>
    <col min="7675" max="7675" width="15.7109375" style="574" customWidth="1"/>
    <col min="7676" max="7678" width="0" style="574" hidden="1" customWidth="1"/>
    <col min="7679" max="7679" width="3.28515625" style="574" customWidth="1"/>
    <col min="7680" max="7682" width="15.7109375" style="574" customWidth="1"/>
    <col min="7683" max="7683" width="11.42578125" style="574"/>
    <col min="7684" max="7684" width="12.85546875" style="574" customWidth="1"/>
    <col min="7685" max="7685" width="11.42578125" style="574" customWidth="1"/>
    <col min="7686" max="7929" width="11.42578125" style="574"/>
    <col min="7930" max="7930" width="35.7109375" style="574" customWidth="1"/>
    <col min="7931" max="7931" width="15.7109375" style="574" customWidth="1"/>
    <col min="7932" max="7934" width="0" style="574" hidden="1" customWidth="1"/>
    <col min="7935" max="7935" width="3.28515625" style="574" customWidth="1"/>
    <col min="7936" max="7938" width="15.7109375" style="574" customWidth="1"/>
    <col min="7939" max="7939" width="11.42578125" style="574"/>
    <col min="7940" max="7940" width="12.85546875" style="574" customWidth="1"/>
    <col min="7941" max="7941" width="11.42578125" style="574" customWidth="1"/>
    <col min="7942" max="8185" width="11.42578125" style="574"/>
    <col min="8186" max="8186" width="35.7109375" style="574" customWidth="1"/>
    <col min="8187" max="8187" width="15.7109375" style="574" customWidth="1"/>
    <col min="8188" max="8190" width="0" style="574" hidden="1" customWidth="1"/>
    <col min="8191" max="8191" width="3.28515625" style="574" customWidth="1"/>
    <col min="8192" max="8194" width="15.7109375" style="574" customWidth="1"/>
    <col min="8195" max="8195" width="11.42578125" style="574"/>
    <col min="8196" max="8196" width="12.85546875" style="574" customWidth="1"/>
    <col min="8197" max="8197" width="11.42578125" style="574" customWidth="1"/>
    <col min="8198" max="8441" width="11.42578125" style="574"/>
    <col min="8442" max="8442" width="35.7109375" style="574" customWidth="1"/>
    <col min="8443" max="8443" width="15.7109375" style="574" customWidth="1"/>
    <col min="8444" max="8446" width="0" style="574" hidden="1" customWidth="1"/>
    <col min="8447" max="8447" width="3.28515625" style="574" customWidth="1"/>
    <col min="8448" max="8450" width="15.7109375" style="574" customWidth="1"/>
    <col min="8451" max="8451" width="11.42578125" style="574"/>
    <col min="8452" max="8452" width="12.85546875" style="574" customWidth="1"/>
    <col min="8453" max="8453" width="11.42578125" style="574" customWidth="1"/>
    <col min="8454" max="8697" width="11.42578125" style="574"/>
    <col min="8698" max="8698" width="35.7109375" style="574" customWidth="1"/>
    <col min="8699" max="8699" width="15.7109375" style="574" customWidth="1"/>
    <col min="8700" max="8702" width="0" style="574" hidden="1" customWidth="1"/>
    <col min="8703" max="8703" width="3.28515625" style="574" customWidth="1"/>
    <col min="8704" max="8706" width="15.7109375" style="574" customWidth="1"/>
    <col min="8707" max="8707" width="11.42578125" style="574"/>
    <col min="8708" max="8708" width="12.85546875" style="574" customWidth="1"/>
    <col min="8709" max="8709" width="11.42578125" style="574" customWidth="1"/>
    <col min="8710" max="8953" width="11.42578125" style="574"/>
    <col min="8954" max="8954" width="35.7109375" style="574" customWidth="1"/>
    <col min="8955" max="8955" width="15.7109375" style="574" customWidth="1"/>
    <col min="8956" max="8958" width="0" style="574" hidden="1" customWidth="1"/>
    <col min="8959" max="8959" width="3.28515625" style="574" customWidth="1"/>
    <col min="8960" max="8962" width="15.7109375" style="574" customWidth="1"/>
    <col min="8963" max="8963" width="11.42578125" style="574"/>
    <col min="8964" max="8964" width="12.85546875" style="574" customWidth="1"/>
    <col min="8965" max="8965" width="11.42578125" style="574" customWidth="1"/>
    <col min="8966" max="9209" width="11.42578125" style="574"/>
    <col min="9210" max="9210" width="35.7109375" style="574" customWidth="1"/>
    <col min="9211" max="9211" width="15.7109375" style="574" customWidth="1"/>
    <col min="9212" max="9214" width="0" style="574" hidden="1" customWidth="1"/>
    <col min="9215" max="9215" width="3.28515625" style="574" customWidth="1"/>
    <col min="9216" max="9218" width="15.7109375" style="574" customWidth="1"/>
    <col min="9219" max="9219" width="11.42578125" style="574"/>
    <col min="9220" max="9220" width="12.85546875" style="574" customWidth="1"/>
    <col min="9221" max="9221" width="11.42578125" style="574" customWidth="1"/>
    <col min="9222" max="9465" width="11.42578125" style="574"/>
    <col min="9466" max="9466" width="35.7109375" style="574" customWidth="1"/>
    <col min="9467" max="9467" width="15.7109375" style="574" customWidth="1"/>
    <col min="9468" max="9470" width="0" style="574" hidden="1" customWidth="1"/>
    <col min="9471" max="9471" width="3.28515625" style="574" customWidth="1"/>
    <col min="9472" max="9474" width="15.7109375" style="574" customWidth="1"/>
    <col min="9475" max="9475" width="11.42578125" style="574"/>
    <col min="9476" max="9476" width="12.85546875" style="574" customWidth="1"/>
    <col min="9477" max="9477" width="11.42578125" style="574" customWidth="1"/>
    <col min="9478" max="9721" width="11.42578125" style="574"/>
    <col min="9722" max="9722" width="35.7109375" style="574" customWidth="1"/>
    <col min="9723" max="9723" width="15.7109375" style="574" customWidth="1"/>
    <col min="9724" max="9726" width="0" style="574" hidden="1" customWidth="1"/>
    <col min="9727" max="9727" width="3.28515625" style="574" customWidth="1"/>
    <col min="9728" max="9730" width="15.7109375" style="574" customWidth="1"/>
    <col min="9731" max="9731" width="11.42578125" style="574"/>
    <col min="9732" max="9732" width="12.85546875" style="574" customWidth="1"/>
    <col min="9733" max="9733" width="11.42578125" style="574" customWidth="1"/>
    <col min="9734" max="9977" width="11.42578125" style="574"/>
    <col min="9978" max="9978" width="35.7109375" style="574" customWidth="1"/>
    <col min="9979" max="9979" width="15.7109375" style="574" customWidth="1"/>
    <col min="9980" max="9982" width="0" style="574" hidden="1" customWidth="1"/>
    <col min="9983" max="9983" width="3.28515625" style="574" customWidth="1"/>
    <col min="9984" max="9986" width="15.7109375" style="574" customWidth="1"/>
    <col min="9987" max="9987" width="11.42578125" style="574"/>
    <col min="9988" max="9988" width="12.85546875" style="574" customWidth="1"/>
    <col min="9989" max="9989" width="11.42578125" style="574" customWidth="1"/>
    <col min="9990" max="10233" width="11.42578125" style="574"/>
    <col min="10234" max="10234" width="35.7109375" style="574" customWidth="1"/>
    <col min="10235" max="10235" width="15.7109375" style="574" customWidth="1"/>
    <col min="10236" max="10238" width="0" style="574" hidden="1" customWidth="1"/>
    <col min="10239" max="10239" width="3.28515625" style="574" customWidth="1"/>
    <col min="10240" max="10242" width="15.7109375" style="574" customWidth="1"/>
    <col min="10243" max="10243" width="11.42578125" style="574"/>
    <col min="10244" max="10244" width="12.85546875" style="574" customWidth="1"/>
    <col min="10245" max="10245" width="11.42578125" style="574" customWidth="1"/>
    <col min="10246" max="10489" width="11.42578125" style="574"/>
    <col min="10490" max="10490" width="35.7109375" style="574" customWidth="1"/>
    <col min="10491" max="10491" width="15.7109375" style="574" customWidth="1"/>
    <col min="10492" max="10494" width="0" style="574" hidden="1" customWidth="1"/>
    <col min="10495" max="10495" width="3.28515625" style="574" customWidth="1"/>
    <col min="10496" max="10498" width="15.7109375" style="574" customWidth="1"/>
    <col min="10499" max="10499" width="11.42578125" style="574"/>
    <col min="10500" max="10500" width="12.85546875" style="574" customWidth="1"/>
    <col min="10501" max="10501" width="11.42578125" style="574" customWidth="1"/>
    <col min="10502" max="10745" width="11.42578125" style="574"/>
    <col min="10746" max="10746" width="35.7109375" style="574" customWidth="1"/>
    <col min="10747" max="10747" width="15.7109375" style="574" customWidth="1"/>
    <col min="10748" max="10750" width="0" style="574" hidden="1" customWidth="1"/>
    <col min="10751" max="10751" width="3.28515625" style="574" customWidth="1"/>
    <col min="10752" max="10754" width="15.7109375" style="574" customWidth="1"/>
    <col min="10755" max="10755" width="11.42578125" style="574"/>
    <col min="10756" max="10756" width="12.85546875" style="574" customWidth="1"/>
    <col min="10757" max="10757" width="11.42578125" style="574" customWidth="1"/>
    <col min="10758" max="11001" width="11.42578125" style="574"/>
    <col min="11002" max="11002" width="35.7109375" style="574" customWidth="1"/>
    <col min="11003" max="11003" width="15.7109375" style="574" customWidth="1"/>
    <col min="11004" max="11006" width="0" style="574" hidden="1" customWidth="1"/>
    <col min="11007" max="11007" width="3.28515625" style="574" customWidth="1"/>
    <col min="11008" max="11010" width="15.7109375" style="574" customWidth="1"/>
    <col min="11011" max="11011" width="11.42578125" style="574"/>
    <col min="11012" max="11012" width="12.85546875" style="574" customWidth="1"/>
    <col min="11013" max="11013" width="11.42578125" style="574" customWidth="1"/>
    <col min="11014" max="11257" width="11.42578125" style="574"/>
    <col min="11258" max="11258" width="35.7109375" style="574" customWidth="1"/>
    <col min="11259" max="11259" width="15.7109375" style="574" customWidth="1"/>
    <col min="11260" max="11262" width="0" style="574" hidden="1" customWidth="1"/>
    <col min="11263" max="11263" width="3.28515625" style="574" customWidth="1"/>
    <col min="11264" max="11266" width="15.7109375" style="574" customWidth="1"/>
    <col min="11267" max="11267" width="11.42578125" style="574"/>
    <col min="11268" max="11268" width="12.85546875" style="574" customWidth="1"/>
    <col min="11269" max="11269" width="11.42578125" style="574" customWidth="1"/>
    <col min="11270" max="11513" width="11.42578125" style="574"/>
    <col min="11514" max="11514" width="35.7109375" style="574" customWidth="1"/>
    <col min="11515" max="11515" width="15.7109375" style="574" customWidth="1"/>
    <col min="11516" max="11518" width="0" style="574" hidden="1" customWidth="1"/>
    <col min="11519" max="11519" width="3.28515625" style="574" customWidth="1"/>
    <col min="11520" max="11522" width="15.7109375" style="574" customWidth="1"/>
    <col min="11523" max="11523" width="11.42578125" style="574"/>
    <col min="11524" max="11524" width="12.85546875" style="574" customWidth="1"/>
    <col min="11525" max="11525" width="11.42578125" style="574" customWidth="1"/>
    <col min="11526" max="11769" width="11.42578125" style="574"/>
    <col min="11770" max="11770" width="35.7109375" style="574" customWidth="1"/>
    <col min="11771" max="11771" width="15.7109375" style="574" customWidth="1"/>
    <col min="11772" max="11774" width="0" style="574" hidden="1" customWidth="1"/>
    <col min="11775" max="11775" width="3.28515625" style="574" customWidth="1"/>
    <col min="11776" max="11778" width="15.7109375" style="574" customWidth="1"/>
    <col min="11779" max="11779" width="11.42578125" style="574"/>
    <col min="11780" max="11780" width="12.85546875" style="574" customWidth="1"/>
    <col min="11781" max="11781" width="11.42578125" style="574" customWidth="1"/>
    <col min="11782" max="12025" width="11.42578125" style="574"/>
    <col min="12026" max="12026" width="35.7109375" style="574" customWidth="1"/>
    <col min="12027" max="12027" width="15.7109375" style="574" customWidth="1"/>
    <col min="12028" max="12030" width="0" style="574" hidden="1" customWidth="1"/>
    <col min="12031" max="12031" width="3.28515625" style="574" customWidth="1"/>
    <col min="12032" max="12034" width="15.7109375" style="574" customWidth="1"/>
    <col min="12035" max="12035" width="11.42578125" style="574"/>
    <col min="12036" max="12036" width="12.85546875" style="574" customWidth="1"/>
    <col min="12037" max="12037" width="11.42578125" style="574" customWidth="1"/>
    <col min="12038" max="12281" width="11.42578125" style="574"/>
    <col min="12282" max="12282" width="35.7109375" style="574" customWidth="1"/>
    <col min="12283" max="12283" width="15.7109375" style="574" customWidth="1"/>
    <col min="12284" max="12286" width="0" style="574" hidden="1" customWidth="1"/>
    <col min="12287" max="12287" width="3.28515625" style="574" customWidth="1"/>
    <col min="12288" max="12290" width="15.7109375" style="574" customWidth="1"/>
    <col min="12291" max="12291" width="11.42578125" style="574"/>
    <col min="12292" max="12292" width="12.85546875" style="574" customWidth="1"/>
    <col min="12293" max="12293" width="11.42578125" style="574" customWidth="1"/>
    <col min="12294" max="12537" width="11.42578125" style="574"/>
    <col min="12538" max="12538" width="35.7109375" style="574" customWidth="1"/>
    <col min="12539" max="12539" width="15.7109375" style="574" customWidth="1"/>
    <col min="12540" max="12542" width="0" style="574" hidden="1" customWidth="1"/>
    <col min="12543" max="12543" width="3.28515625" style="574" customWidth="1"/>
    <col min="12544" max="12546" width="15.7109375" style="574" customWidth="1"/>
    <col min="12547" max="12547" width="11.42578125" style="574"/>
    <col min="12548" max="12548" width="12.85546875" style="574" customWidth="1"/>
    <col min="12549" max="12549" width="11.42578125" style="574" customWidth="1"/>
    <col min="12550" max="12793" width="11.42578125" style="574"/>
    <col min="12794" max="12794" width="35.7109375" style="574" customWidth="1"/>
    <col min="12795" max="12795" width="15.7109375" style="574" customWidth="1"/>
    <col min="12796" max="12798" width="0" style="574" hidden="1" customWidth="1"/>
    <col min="12799" max="12799" width="3.28515625" style="574" customWidth="1"/>
    <col min="12800" max="12802" width="15.7109375" style="574" customWidth="1"/>
    <col min="12803" max="12803" width="11.42578125" style="574"/>
    <col min="12804" max="12804" width="12.85546875" style="574" customWidth="1"/>
    <col min="12805" max="12805" width="11.42578125" style="574" customWidth="1"/>
    <col min="12806" max="13049" width="11.42578125" style="574"/>
    <col min="13050" max="13050" width="35.7109375" style="574" customWidth="1"/>
    <col min="13051" max="13051" width="15.7109375" style="574" customWidth="1"/>
    <col min="13052" max="13054" width="0" style="574" hidden="1" customWidth="1"/>
    <col min="13055" max="13055" width="3.28515625" style="574" customWidth="1"/>
    <col min="13056" max="13058" width="15.7109375" style="574" customWidth="1"/>
    <col min="13059" max="13059" width="11.42578125" style="574"/>
    <col min="13060" max="13060" width="12.85546875" style="574" customWidth="1"/>
    <col min="13061" max="13061" width="11.42578125" style="574" customWidth="1"/>
    <col min="13062" max="13305" width="11.42578125" style="574"/>
    <col min="13306" max="13306" width="35.7109375" style="574" customWidth="1"/>
    <col min="13307" max="13307" width="15.7109375" style="574" customWidth="1"/>
    <col min="13308" max="13310" width="0" style="574" hidden="1" customWidth="1"/>
    <col min="13311" max="13311" width="3.28515625" style="574" customWidth="1"/>
    <col min="13312" max="13314" width="15.7109375" style="574" customWidth="1"/>
    <col min="13315" max="13315" width="11.42578125" style="574"/>
    <col min="13316" max="13316" width="12.85546875" style="574" customWidth="1"/>
    <col min="13317" max="13317" width="11.42578125" style="574" customWidth="1"/>
    <col min="13318" max="13561" width="11.42578125" style="574"/>
    <col min="13562" max="13562" width="35.7109375" style="574" customWidth="1"/>
    <col min="13563" max="13563" width="15.7109375" style="574" customWidth="1"/>
    <col min="13564" max="13566" width="0" style="574" hidden="1" customWidth="1"/>
    <col min="13567" max="13567" width="3.28515625" style="574" customWidth="1"/>
    <col min="13568" max="13570" width="15.7109375" style="574" customWidth="1"/>
    <col min="13571" max="13571" width="11.42578125" style="574"/>
    <col min="13572" max="13572" width="12.85546875" style="574" customWidth="1"/>
    <col min="13573" max="13573" width="11.42578125" style="574" customWidth="1"/>
    <col min="13574" max="13817" width="11.42578125" style="574"/>
    <col min="13818" max="13818" width="35.7109375" style="574" customWidth="1"/>
    <col min="13819" max="13819" width="15.7109375" style="574" customWidth="1"/>
    <col min="13820" max="13822" width="0" style="574" hidden="1" customWidth="1"/>
    <col min="13823" max="13823" width="3.28515625" style="574" customWidth="1"/>
    <col min="13824" max="13826" width="15.7109375" style="574" customWidth="1"/>
    <col min="13827" max="13827" width="11.42578125" style="574"/>
    <col min="13828" max="13828" width="12.85546875" style="574" customWidth="1"/>
    <col min="13829" max="13829" width="11.42578125" style="574" customWidth="1"/>
    <col min="13830" max="14073" width="11.42578125" style="574"/>
    <col min="14074" max="14074" width="35.7109375" style="574" customWidth="1"/>
    <col min="14075" max="14075" width="15.7109375" style="574" customWidth="1"/>
    <col min="14076" max="14078" width="0" style="574" hidden="1" customWidth="1"/>
    <col min="14079" max="14079" width="3.28515625" style="574" customWidth="1"/>
    <col min="14080" max="14082" width="15.7109375" style="574" customWidth="1"/>
    <col min="14083" max="14083" width="11.42578125" style="574"/>
    <col min="14084" max="14084" width="12.85546875" style="574" customWidth="1"/>
    <col min="14085" max="14085" width="11.42578125" style="574" customWidth="1"/>
    <col min="14086" max="14329" width="11.42578125" style="574"/>
    <col min="14330" max="14330" width="35.7109375" style="574" customWidth="1"/>
    <col min="14331" max="14331" width="15.7109375" style="574" customWidth="1"/>
    <col min="14332" max="14334" width="0" style="574" hidden="1" customWidth="1"/>
    <col min="14335" max="14335" width="3.28515625" style="574" customWidth="1"/>
    <col min="14336" max="14338" width="15.7109375" style="574" customWidth="1"/>
    <col min="14339" max="14339" width="11.42578125" style="574"/>
    <col min="14340" max="14340" width="12.85546875" style="574" customWidth="1"/>
    <col min="14341" max="14341" width="11.42578125" style="574" customWidth="1"/>
    <col min="14342" max="14585" width="11.42578125" style="574"/>
    <col min="14586" max="14586" width="35.7109375" style="574" customWidth="1"/>
    <col min="14587" max="14587" width="15.7109375" style="574" customWidth="1"/>
    <col min="14588" max="14590" width="0" style="574" hidden="1" customWidth="1"/>
    <col min="14591" max="14591" width="3.28515625" style="574" customWidth="1"/>
    <col min="14592" max="14594" width="15.7109375" style="574" customWidth="1"/>
    <col min="14595" max="14595" width="11.42578125" style="574"/>
    <col min="14596" max="14596" width="12.85546875" style="574" customWidth="1"/>
    <col min="14597" max="14597" width="11.42578125" style="574" customWidth="1"/>
    <col min="14598" max="14841" width="11.42578125" style="574"/>
    <col min="14842" max="14842" width="35.7109375" style="574" customWidth="1"/>
    <col min="14843" max="14843" width="15.7109375" style="574" customWidth="1"/>
    <col min="14844" max="14846" width="0" style="574" hidden="1" customWidth="1"/>
    <col min="14847" max="14847" width="3.28515625" style="574" customWidth="1"/>
    <col min="14848" max="14850" width="15.7109375" style="574" customWidth="1"/>
    <col min="14851" max="14851" width="11.42578125" style="574"/>
    <col min="14852" max="14852" width="12.85546875" style="574" customWidth="1"/>
    <col min="14853" max="14853" width="11.42578125" style="574" customWidth="1"/>
    <col min="14854" max="15097" width="11.42578125" style="574"/>
    <col min="15098" max="15098" width="35.7109375" style="574" customWidth="1"/>
    <col min="15099" max="15099" width="15.7109375" style="574" customWidth="1"/>
    <col min="15100" max="15102" width="0" style="574" hidden="1" customWidth="1"/>
    <col min="15103" max="15103" width="3.28515625" style="574" customWidth="1"/>
    <col min="15104" max="15106" width="15.7109375" style="574" customWidth="1"/>
    <col min="15107" max="15107" width="11.42578125" style="574"/>
    <col min="15108" max="15108" width="12.85546875" style="574" customWidth="1"/>
    <col min="15109" max="15109" width="11.42578125" style="574" customWidth="1"/>
    <col min="15110" max="15353" width="11.42578125" style="574"/>
    <col min="15354" max="15354" width="35.7109375" style="574" customWidth="1"/>
    <col min="15355" max="15355" width="15.7109375" style="574" customWidth="1"/>
    <col min="15356" max="15358" width="0" style="574" hidden="1" customWidth="1"/>
    <col min="15359" max="15359" width="3.28515625" style="574" customWidth="1"/>
    <col min="15360" max="15362" width="15.7109375" style="574" customWidth="1"/>
    <col min="15363" max="15363" width="11.42578125" style="574"/>
    <col min="15364" max="15364" width="12.85546875" style="574" customWidth="1"/>
    <col min="15365" max="15365" width="11.42578125" style="574" customWidth="1"/>
    <col min="15366" max="15609" width="11.42578125" style="574"/>
    <col min="15610" max="15610" width="35.7109375" style="574" customWidth="1"/>
    <col min="15611" max="15611" width="15.7109375" style="574" customWidth="1"/>
    <col min="15612" max="15614" width="0" style="574" hidden="1" customWidth="1"/>
    <col min="15615" max="15615" width="3.28515625" style="574" customWidth="1"/>
    <col min="15616" max="15618" width="15.7109375" style="574" customWidth="1"/>
    <col min="15619" max="15619" width="11.42578125" style="574"/>
    <col min="15620" max="15620" width="12.85546875" style="574" customWidth="1"/>
    <col min="15621" max="15621" width="11.42578125" style="574" customWidth="1"/>
    <col min="15622" max="15865" width="11.42578125" style="574"/>
    <col min="15866" max="15866" width="35.7109375" style="574" customWidth="1"/>
    <col min="15867" max="15867" width="15.7109375" style="574" customWidth="1"/>
    <col min="15868" max="15870" width="0" style="574" hidden="1" customWidth="1"/>
    <col min="15871" max="15871" width="3.28515625" style="574" customWidth="1"/>
    <col min="15872" max="15874" width="15.7109375" style="574" customWidth="1"/>
    <col min="15875" max="15875" width="11.42578125" style="574"/>
    <col min="15876" max="15876" width="12.85546875" style="574" customWidth="1"/>
    <col min="15877" max="15877" width="11.42578125" style="574" customWidth="1"/>
    <col min="15878" max="16121" width="11.42578125" style="574"/>
    <col min="16122" max="16122" width="35.7109375" style="574" customWidth="1"/>
    <col min="16123" max="16123" width="15.7109375" style="574" customWidth="1"/>
    <col min="16124" max="16126" width="0" style="574" hidden="1" customWidth="1"/>
    <col min="16127" max="16127" width="3.28515625" style="574" customWidth="1"/>
    <col min="16128" max="16130" width="15.7109375" style="574" customWidth="1"/>
    <col min="16131" max="16131" width="11.42578125" style="574"/>
    <col min="16132" max="16132" width="12.85546875" style="574" customWidth="1"/>
    <col min="16133" max="16133" width="11.42578125" style="574" customWidth="1"/>
    <col min="16134" max="16384" width="11.42578125" style="574"/>
  </cols>
  <sheetData>
    <row r="1" spans="1:10" ht="26.25" x14ac:dyDescent="0.4">
      <c r="A1" s="485" t="s">
        <v>30</v>
      </c>
      <c r="B1" s="644"/>
      <c r="C1" s="644"/>
      <c r="D1" s="644"/>
      <c r="E1" s="645"/>
    </row>
    <row r="2" spans="1:10" ht="26.25" x14ac:dyDescent="0.4">
      <c r="A2" s="646" t="s">
        <v>440</v>
      </c>
      <c r="B2" s="647"/>
      <c r="C2" s="647"/>
      <c r="D2" s="648"/>
      <c r="E2" s="649"/>
    </row>
    <row r="3" spans="1:10" ht="15.75" thickBot="1" x14ac:dyDescent="0.3">
      <c r="A3" s="643" t="str">
        <f>+Stammdaten!B5</f>
        <v>Wohnheim Musterdorf</v>
      </c>
      <c r="B3" s="473" t="str">
        <f>+Stammdaten!B3</f>
        <v>Beispiel-Landkreis</v>
      </c>
      <c r="C3" s="578"/>
      <c r="D3" s="71" t="s">
        <v>45</v>
      </c>
      <c r="E3" s="72"/>
    </row>
    <row r="4" spans="1:10" ht="153" customHeight="1" thickBot="1" x14ac:dyDescent="0.3">
      <c r="A4" s="985" t="s">
        <v>485</v>
      </c>
      <c r="B4" s="939"/>
      <c r="C4" s="939"/>
      <c r="D4" s="939"/>
      <c r="E4" s="940"/>
      <c r="F4" s="650"/>
    </row>
    <row r="5" spans="1:10" ht="21" x14ac:dyDescent="0.35">
      <c r="A5" s="579"/>
      <c r="B5" s="577"/>
      <c r="C5" s="577"/>
      <c r="D5" s="577"/>
      <c r="E5" s="580"/>
    </row>
    <row r="6" spans="1:10" ht="39.75" customHeight="1" x14ac:dyDescent="0.35">
      <c r="A6" s="996" t="s">
        <v>486</v>
      </c>
      <c r="B6" s="997"/>
      <c r="C6" s="583" t="s">
        <v>20</v>
      </c>
      <c r="D6" s="651" t="s">
        <v>22</v>
      </c>
      <c r="E6" s="583" t="s">
        <v>21</v>
      </c>
    </row>
    <row r="7" spans="1:10" ht="15.75" customHeight="1" x14ac:dyDescent="0.25">
      <c r="A7" s="652" t="s">
        <v>253</v>
      </c>
      <c r="B7" s="653"/>
      <c r="C7" s="588"/>
      <c r="D7" s="654"/>
      <c r="E7" s="588"/>
    </row>
    <row r="8" spans="1:10" ht="15.75" thickBot="1" x14ac:dyDescent="0.3">
      <c r="A8" s="655" t="s">
        <v>177</v>
      </c>
      <c r="B8" s="656"/>
      <c r="C8" s="593" t="s">
        <v>189</v>
      </c>
      <c r="D8" s="669">
        <v>0</v>
      </c>
      <c r="E8" s="639">
        <v>1</v>
      </c>
      <c r="G8" s="94"/>
    </row>
    <row r="9" spans="1:10" x14ac:dyDescent="0.25">
      <c r="A9" s="657" t="s">
        <v>479</v>
      </c>
      <c r="B9" s="602"/>
      <c r="C9" s="603"/>
      <c r="D9" s="670">
        <f t="shared" ref="D9:D29" si="0">+C9*$D$8</f>
        <v>0</v>
      </c>
      <c r="E9" s="632">
        <f t="shared" ref="E9:E29" si="1">+C9*$E$8</f>
        <v>0</v>
      </c>
      <c r="G9" s="94"/>
    </row>
    <row r="10" spans="1:10" x14ac:dyDescent="0.25">
      <c r="A10" s="601" t="s">
        <v>49</v>
      </c>
      <c r="B10" s="602"/>
      <c r="C10" s="603"/>
      <c r="D10" s="670">
        <f t="shared" si="0"/>
        <v>0</v>
      </c>
      <c r="E10" s="632">
        <f t="shared" si="1"/>
        <v>0</v>
      </c>
      <c r="G10" s="94"/>
      <c r="J10" s="659"/>
    </row>
    <row r="11" spans="1:10" x14ac:dyDescent="0.25">
      <c r="A11" s="601" t="s">
        <v>50</v>
      </c>
      <c r="B11" s="602"/>
      <c r="C11" s="603">
        <v>5000</v>
      </c>
      <c r="D11" s="670">
        <f t="shared" si="0"/>
        <v>0</v>
      </c>
      <c r="E11" s="632">
        <f t="shared" si="1"/>
        <v>5000</v>
      </c>
      <c r="G11" s="94"/>
    </row>
    <row r="12" spans="1:10" x14ac:dyDescent="0.25">
      <c r="A12" s="601" t="s">
        <v>51</v>
      </c>
      <c r="B12" s="602"/>
      <c r="C12" s="603"/>
      <c r="D12" s="670">
        <f t="shared" si="0"/>
        <v>0</v>
      </c>
      <c r="E12" s="632">
        <f t="shared" si="1"/>
        <v>0</v>
      </c>
    </row>
    <row r="13" spans="1:10" x14ac:dyDescent="0.25">
      <c r="A13" s="601" t="s">
        <v>52</v>
      </c>
      <c r="B13" s="602"/>
      <c r="C13" s="603"/>
      <c r="D13" s="670">
        <f t="shared" si="0"/>
        <v>0</v>
      </c>
      <c r="E13" s="632">
        <f t="shared" si="1"/>
        <v>0</v>
      </c>
    </row>
    <row r="14" spans="1:10" x14ac:dyDescent="0.25">
      <c r="A14" s="601" t="s">
        <v>53</v>
      </c>
      <c r="B14" s="602"/>
      <c r="C14" s="603">
        <v>10000</v>
      </c>
      <c r="D14" s="670">
        <f t="shared" si="0"/>
        <v>0</v>
      </c>
      <c r="E14" s="632">
        <f t="shared" si="1"/>
        <v>10000</v>
      </c>
      <c r="J14" s="659"/>
    </row>
    <row r="15" spans="1:10" x14ac:dyDescent="0.25">
      <c r="A15" s="601" t="s">
        <v>33</v>
      </c>
      <c r="B15" s="602"/>
      <c r="C15" s="603">
        <v>10000</v>
      </c>
      <c r="D15" s="670">
        <f t="shared" si="0"/>
        <v>0</v>
      </c>
      <c r="E15" s="632">
        <f t="shared" si="1"/>
        <v>10000</v>
      </c>
    </row>
    <row r="16" spans="1:10" x14ac:dyDescent="0.25">
      <c r="A16" s="601" t="s">
        <v>34</v>
      </c>
      <c r="B16" s="602"/>
      <c r="C16" s="603"/>
      <c r="D16" s="670">
        <f t="shared" si="0"/>
        <v>0</v>
      </c>
      <c r="E16" s="632">
        <f t="shared" si="1"/>
        <v>0</v>
      </c>
    </row>
    <row r="17" spans="1:8" x14ac:dyDescent="0.25">
      <c r="A17" s="601" t="s">
        <v>35</v>
      </c>
      <c r="B17" s="602"/>
      <c r="C17" s="603">
        <v>25000</v>
      </c>
      <c r="D17" s="670">
        <f t="shared" si="0"/>
        <v>0</v>
      </c>
      <c r="E17" s="632">
        <f t="shared" si="1"/>
        <v>25000</v>
      </c>
    </row>
    <row r="18" spans="1:8" x14ac:dyDescent="0.25">
      <c r="A18" s="601" t="s">
        <v>36</v>
      </c>
      <c r="B18" s="602"/>
      <c r="C18" s="603"/>
      <c r="D18" s="670">
        <f t="shared" si="0"/>
        <v>0</v>
      </c>
      <c r="E18" s="632">
        <f t="shared" si="1"/>
        <v>0</v>
      </c>
    </row>
    <row r="19" spans="1:8" x14ac:dyDescent="0.25">
      <c r="A19" s="601" t="s">
        <v>37</v>
      </c>
      <c r="B19" s="602"/>
      <c r="C19" s="603">
        <v>10000</v>
      </c>
      <c r="D19" s="670">
        <f t="shared" si="0"/>
        <v>0</v>
      </c>
      <c r="E19" s="632">
        <f t="shared" si="1"/>
        <v>10000</v>
      </c>
    </row>
    <row r="20" spans="1:8" x14ac:dyDescent="0.25">
      <c r="A20" s="601" t="s">
        <v>38</v>
      </c>
      <c r="B20" s="602"/>
      <c r="C20" s="603"/>
      <c r="D20" s="670">
        <f t="shared" si="0"/>
        <v>0</v>
      </c>
      <c r="E20" s="632">
        <f t="shared" si="1"/>
        <v>0</v>
      </c>
    </row>
    <row r="21" spans="1:8" x14ac:dyDescent="0.25">
      <c r="A21" s="601" t="s">
        <v>39</v>
      </c>
      <c r="B21" s="602"/>
      <c r="C21" s="603"/>
      <c r="D21" s="670">
        <f t="shared" si="0"/>
        <v>0</v>
      </c>
      <c r="E21" s="632">
        <f t="shared" si="1"/>
        <v>0</v>
      </c>
    </row>
    <row r="22" spans="1:8" x14ac:dyDescent="0.25">
      <c r="A22" s="601" t="s">
        <v>40</v>
      </c>
      <c r="B22" s="602"/>
      <c r="C22" s="603"/>
      <c r="D22" s="670">
        <f t="shared" si="0"/>
        <v>0</v>
      </c>
      <c r="E22" s="632">
        <f t="shared" si="1"/>
        <v>0</v>
      </c>
    </row>
    <row r="23" spans="1:8" x14ac:dyDescent="0.25">
      <c r="A23" s="601" t="s">
        <v>41</v>
      </c>
      <c r="B23" s="602"/>
      <c r="C23" s="603"/>
      <c r="D23" s="670">
        <f t="shared" si="0"/>
        <v>0</v>
      </c>
      <c r="E23" s="632">
        <f t="shared" si="1"/>
        <v>0</v>
      </c>
    </row>
    <row r="24" spans="1:8" x14ac:dyDescent="0.25">
      <c r="A24" s="601" t="s">
        <v>42</v>
      </c>
      <c r="B24" s="602"/>
      <c r="C24" s="603"/>
      <c r="D24" s="670">
        <f t="shared" si="0"/>
        <v>0</v>
      </c>
      <c r="E24" s="632">
        <f t="shared" si="1"/>
        <v>0</v>
      </c>
    </row>
    <row r="25" spans="1:8" x14ac:dyDescent="0.25">
      <c r="A25" s="601" t="s">
        <v>43</v>
      </c>
      <c r="B25" s="602"/>
      <c r="C25" s="603"/>
      <c r="D25" s="670">
        <f t="shared" si="0"/>
        <v>0</v>
      </c>
      <c r="E25" s="632">
        <f t="shared" si="1"/>
        <v>0</v>
      </c>
    </row>
    <row r="26" spans="1:8" ht="30" x14ac:dyDescent="0.25">
      <c r="A26" s="604" t="s">
        <v>56</v>
      </c>
      <c r="B26" s="602"/>
      <c r="C26" s="603"/>
      <c r="D26" s="670">
        <f t="shared" si="0"/>
        <v>0</v>
      </c>
      <c r="E26" s="632">
        <f t="shared" si="1"/>
        <v>0</v>
      </c>
    </row>
    <row r="27" spans="1:8" x14ac:dyDescent="0.25">
      <c r="A27" s="605" t="s">
        <v>170</v>
      </c>
      <c r="B27" s="660"/>
      <c r="C27" s="603">
        <v>5000</v>
      </c>
      <c r="D27" s="670">
        <f t="shared" si="0"/>
        <v>0</v>
      </c>
      <c r="E27" s="632">
        <f t="shared" si="1"/>
        <v>5000</v>
      </c>
    </row>
    <row r="28" spans="1:8" x14ac:dyDescent="0.25">
      <c r="A28" s="605" t="s">
        <v>54</v>
      </c>
      <c r="B28" s="602"/>
      <c r="C28" s="603"/>
      <c r="D28" s="670">
        <f t="shared" si="0"/>
        <v>0</v>
      </c>
      <c r="E28" s="632">
        <f t="shared" si="1"/>
        <v>0</v>
      </c>
    </row>
    <row r="29" spans="1:8" x14ac:dyDescent="0.25">
      <c r="A29" s="605"/>
      <c r="B29" s="602"/>
      <c r="C29" s="603"/>
      <c r="D29" s="670">
        <f t="shared" si="0"/>
        <v>0</v>
      </c>
      <c r="E29" s="632">
        <f t="shared" si="1"/>
        <v>0</v>
      </c>
    </row>
    <row r="30" spans="1:8" x14ac:dyDescent="0.25">
      <c r="A30" s="661" t="s">
        <v>10</v>
      </c>
      <c r="B30" s="662"/>
      <c r="C30" s="429">
        <f>+SUM(C9:C29)</f>
        <v>65000</v>
      </c>
      <c r="D30" s="671">
        <f>+SUM(D9:D29)</f>
        <v>0</v>
      </c>
      <c r="E30" s="429">
        <f>+SUM(E9:E29)</f>
        <v>65000</v>
      </c>
      <c r="G30" s="642" t="s">
        <v>6</v>
      </c>
      <c r="H30" s="266">
        <f>+C30-D30-E30</f>
        <v>0</v>
      </c>
    </row>
    <row r="31" spans="1:8" x14ac:dyDescent="0.25">
      <c r="A31" s="663"/>
      <c r="B31" s="664"/>
      <c r="C31" s="413"/>
      <c r="D31" s="665"/>
      <c r="E31" s="414"/>
      <c r="H31" s="146"/>
    </row>
    <row r="32" spans="1:8" x14ac:dyDescent="0.25">
      <c r="A32" s="666" t="s">
        <v>487</v>
      </c>
      <c r="B32" s="667"/>
      <c r="C32" s="672">
        <f>+'B_2 Sonder-Infrastr.'!E72</f>
        <v>4.8000000000000001E-2</v>
      </c>
      <c r="D32" s="665"/>
      <c r="E32" s="414"/>
      <c r="H32" s="146"/>
    </row>
    <row r="33" spans="1:8" x14ac:dyDescent="0.25">
      <c r="A33" s="661" t="s">
        <v>243</v>
      </c>
      <c r="B33" s="662"/>
      <c r="C33" s="429">
        <f>+C30*C32</f>
        <v>3120</v>
      </c>
      <c r="D33" s="671">
        <f>+D30*C32</f>
        <v>0</v>
      </c>
      <c r="E33" s="429">
        <f>+E30*C32</f>
        <v>3120</v>
      </c>
      <c r="G33" s="642" t="s">
        <v>6</v>
      </c>
      <c r="H33" s="266">
        <f>+C33-D33-E33</f>
        <v>0</v>
      </c>
    </row>
    <row r="34" spans="1:8" x14ac:dyDescent="0.25">
      <c r="A34" s="668" t="s">
        <v>18</v>
      </c>
      <c r="B34" s="673">
        <f>+'B_1 Geb. Kaltmiete'!B105</f>
        <v>0.96499999999999997</v>
      </c>
      <c r="C34" s="598"/>
      <c r="D34" s="658"/>
      <c r="E34" s="598"/>
      <c r="H34" s="322"/>
    </row>
    <row r="35" spans="1:8" x14ac:dyDescent="0.25">
      <c r="A35" s="626"/>
      <c r="B35" s="627" t="s">
        <v>246</v>
      </c>
      <c r="C35" s="640">
        <f>+C33/Stammdaten!B7/B34</f>
        <v>134.71502590673575</v>
      </c>
      <c r="D35" s="674">
        <f>+D33/Stammdaten!B7/B34</f>
        <v>0</v>
      </c>
      <c r="E35" s="640">
        <f>+E33/Stammdaten!B7/B34</f>
        <v>134.71502590673575</v>
      </c>
      <c r="G35" s="642" t="s">
        <v>6</v>
      </c>
      <c r="H35" s="266">
        <f>+C35-D35-E35</f>
        <v>0</v>
      </c>
    </row>
    <row r="36" spans="1:8" ht="18.75" x14ac:dyDescent="0.3">
      <c r="A36" s="628"/>
      <c r="B36" s="629" t="s">
        <v>247</v>
      </c>
      <c r="C36" s="467">
        <f>+C35/12</f>
        <v>11.226252158894646</v>
      </c>
      <c r="D36" s="675">
        <f>D35/12</f>
        <v>0</v>
      </c>
      <c r="E36" s="467">
        <f>E35/12</f>
        <v>11.226252158894646</v>
      </c>
      <c r="G36" s="642" t="s">
        <v>6</v>
      </c>
      <c r="H36" s="266">
        <f>+C36-D36-E36</f>
        <v>0</v>
      </c>
    </row>
    <row r="37" spans="1:8" x14ac:dyDescent="0.25">
      <c r="G37" s="642" t="s">
        <v>6</v>
      </c>
      <c r="H37" s="266">
        <f>+C33-(C36*Stammdaten!B7*12*B34)</f>
        <v>0</v>
      </c>
    </row>
  </sheetData>
  <sheetProtection sheet="1" objects="1" scenarios="1"/>
  <mergeCells count="2">
    <mergeCell ref="A4:E4"/>
    <mergeCell ref="A6:B6"/>
  </mergeCells>
  <conditionalFormatting sqref="H30">
    <cfRule type="expression" dxfId="33" priority="4">
      <formula>OR(H30&lt;-0.0009,H30&gt;0.0009)</formula>
    </cfRule>
  </conditionalFormatting>
  <conditionalFormatting sqref="H33">
    <cfRule type="expression" dxfId="32" priority="3">
      <formula>OR(H33&lt;-0.0009,H33&gt;0.0009)</formula>
    </cfRule>
  </conditionalFormatting>
  <conditionalFormatting sqref="H35:H36">
    <cfRule type="expression" dxfId="31" priority="2">
      <formula>OR(H35&lt;-0.0009,H35&gt;0.0009)</formula>
    </cfRule>
  </conditionalFormatting>
  <conditionalFormatting sqref="H37">
    <cfRule type="expression" dxfId="30" priority="1">
      <formula>OR(H37&lt;-0.0009,H37&gt;0.0009)</formula>
    </cfRule>
  </conditionalFormatting>
  <pageMargins left="0.7" right="0.7" top="0.78740157499999996" bottom="0.78740157499999996" header="0.3" footer="0.3"/>
  <pageSetup paperSize="9" scale="94" fitToWidth="0" fitToHeight="0" orientation="portrait" r:id="rId1"/>
  <colBreaks count="1" manualBreakCount="1">
    <brk id="5"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99"/>
  <sheetViews>
    <sheetView zoomScaleNormal="100" workbookViewId="0">
      <selection activeCell="A7" sqref="A7"/>
    </sheetView>
  </sheetViews>
  <sheetFormatPr baseColWidth="10" defaultColWidth="11.42578125" defaultRowHeight="15" x14ac:dyDescent="0.25"/>
  <cols>
    <col min="1" max="1" width="24" style="146" customWidth="1"/>
    <col min="2" max="2" width="20.42578125" style="146" customWidth="1"/>
    <col min="3" max="3" width="12.7109375" style="146" customWidth="1"/>
    <col min="4" max="4" width="14" style="146" customWidth="1"/>
    <col min="5" max="5" width="17.7109375" style="146" customWidth="1"/>
    <col min="6" max="6" width="16" style="146" customWidth="1"/>
    <col min="7" max="7" width="5.140625" style="146" customWidth="1"/>
    <col min="8" max="8" width="7.7109375" style="146" customWidth="1"/>
    <col min="9" max="9" width="13.28515625" style="146" bestFit="1" customWidth="1"/>
    <col min="10" max="16384" width="11.42578125" style="146"/>
  </cols>
  <sheetData>
    <row r="1" spans="1:6" ht="26.25" x14ac:dyDescent="0.4">
      <c r="A1" s="64" t="s">
        <v>30</v>
      </c>
      <c r="B1" s="679"/>
      <c r="C1" s="572"/>
      <c r="D1" s="572"/>
      <c r="E1" s="145"/>
      <c r="F1" s="92"/>
    </row>
    <row r="2" spans="1:6" ht="26.25" x14ac:dyDescent="0.4">
      <c r="A2" s="575" t="s">
        <v>25</v>
      </c>
      <c r="B2" s="680"/>
      <c r="C2" s="576"/>
      <c r="D2" s="576"/>
      <c r="E2" s="147"/>
      <c r="F2" s="70" t="str">
        <f>+Stammdaten!D2</f>
        <v>Version 1.3</v>
      </c>
    </row>
    <row r="3" spans="1:6" x14ac:dyDescent="0.25">
      <c r="A3" s="643" t="str">
        <f>+Stammdaten!B5</f>
        <v>Wohnheim Musterdorf</v>
      </c>
      <c r="B3" s="681"/>
      <c r="C3" s="473" t="str">
        <f>+Stammdaten!B3</f>
        <v>Beispiel-Landkreis</v>
      </c>
      <c r="D3" s="150"/>
      <c r="E3" s="71" t="s">
        <v>45</v>
      </c>
      <c r="F3" s="72"/>
    </row>
    <row r="4" spans="1:6" x14ac:dyDescent="0.25">
      <c r="A4" s="682"/>
      <c r="B4" s="683"/>
      <c r="C4" s="147"/>
      <c r="D4" s="147"/>
      <c r="E4" s="147"/>
      <c r="F4" s="299"/>
    </row>
    <row r="5" spans="1:6" ht="48" customHeight="1" x14ac:dyDescent="0.25">
      <c r="A5" s="998" t="s">
        <v>497</v>
      </c>
      <c r="B5" s="999"/>
      <c r="C5" s="1000"/>
      <c r="D5" s="684" t="s">
        <v>194</v>
      </c>
      <c r="E5" s="685" t="s">
        <v>22</v>
      </c>
      <c r="F5" s="685" t="s">
        <v>21</v>
      </c>
    </row>
    <row r="6" spans="1:6" x14ac:dyDescent="0.25">
      <c r="A6" s="497"/>
      <c r="B6" s="301"/>
      <c r="C6" s="686"/>
      <c r="D6" s="687"/>
      <c r="E6" s="688" t="s">
        <v>127</v>
      </c>
      <c r="F6" s="689" t="s">
        <v>127</v>
      </c>
    </row>
    <row r="7" spans="1:6" x14ac:dyDescent="0.25">
      <c r="A7" s="71" t="s">
        <v>406</v>
      </c>
      <c r="B7" s="509"/>
      <c r="C7" s="690"/>
      <c r="D7" s="310">
        <v>3500</v>
      </c>
      <c r="E7" s="691">
        <f>+D7</f>
        <v>3500</v>
      </c>
      <c r="F7" s="692"/>
    </row>
    <row r="8" spans="1:6" x14ac:dyDescent="0.25">
      <c r="A8" s="71" t="s">
        <v>407</v>
      </c>
      <c r="B8" s="509"/>
      <c r="C8" s="690"/>
      <c r="D8" s="310">
        <v>500</v>
      </c>
      <c r="E8" s="691">
        <f t="shared" ref="E8:E12" si="0">+D8</f>
        <v>500</v>
      </c>
      <c r="F8" s="692"/>
    </row>
    <row r="9" spans="1:6" x14ac:dyDescent="0.25">
      <c r="A9" s="71" t="s">
        <v>408</v>
      </c>
      <c r="B9" s="509"/>
      <c r="C9" s="690"/>
      <c r="D9" s="310">
        <v>1500</v>
      </c>
      <c r="E9" s="691">
        <f t="shared" si="0"/>
        <v>1500</v>
      </c>
      <c r="F9" s="692"/>
    </row>
    <row r="10" spans="1:6" x14ac:dyDescent="0.25">
      <c r="A10" s="71" t="s">
        <v>408</v>
      </c>
      <c r="B10" s="509"/>
      <c r="C10" s="690"/>
      <c r="D10" s="310">
        <v>1158</v>
      </c>
      <c r="E10" s="691">
        <f t="shared" si="0"/>
        <v>1158</v>
      </c>
      <c r="F10" s="692"/>
    </row>
    <row r="11" spans="1:6" x14ac:dyDescent="0.25">
      <c r="A11" s="71" t="s">
        <v>409</v>
      </c>
      <c r="B11" s="509"/>
      <c r="C11" s="690"/>
      <c r="D11" s="310">
        <v>1399</v>
      </c>
      <c r="E11" s="691">
        <f t="shared" si="0"/>
        <v>1399</v>
      </c>
      <c r="F11" s="692"/>
    </row>
    <row r="12" spans="1:6" x14ac:dyDescent="0.25">
      <c r="A12" s="71" t="s">
        <v>410</v>
      </c>
      <c r="B12" s="509"/>
      <c r="C12" s="690"/>
      <c r="D12" s="310">
        <v>499</v>
      </c>
      <c r="E12" s="691">
        <f t="shared" si="0"/>
        <v>499</v>
      </c>
      <c r="F12" s="692"/>
    </row>
    <row r="13" spans="1:6" x14ac:dyDescent="0.25">
      <c r="A13" s="71" t="s">
        <v>411</v>
      </c>
      <c r="B13" s="509"/>
      <c r="C13" s="690"/>
      <c r="D13" s="310">
        <v>3685</v>
      </c>
      <c r="E13" s="310"/>
      <c r="F13" s="693">
        <f>+D13</f>
        <v>3685</v>
      </c>
    </row>
    <row r="14" spans="1:6" x14ac:dyDescent="0.25">
      <c r="A14" s="71" t="s">
        <v>412</v>
      </c>
      <c r="B14" s="509"/>
      <c r="C14" s="690"/>
      <c r="D14" s="310">
        <v>17568</v>
      </c>
      <c r="E14" s="310"/>
      <c r="F14" s="693">
        <f t="shared" ref="F14:F17" si="1">+D14</f>
        <v>17568</v>
      </c>
    </row>
    <row r="15" spans="1:6" x14ac:dyDescent="0.25">
      <c r="A15" s="71" t="s">
        <v>413</v>
      </c>
      <c r="B15" s="509"/>
      <c r="C15" s="690"/>
      <c r="D15" s="310">
        <v>12412</v>
      </c>
      <c r="E15" s="310"/>
      <c r="F15" s="693">
        <f t="shared" si="1"/>
        <v>12412</v>
      </c>
    </row>
    <row r="16" spans="1:6" x14ac:dyDescent="0.25">
      <c r="A16" s="71" t="s">
        <v>414</v>
      </c>
      <c r="B16" s="509"/>
      <c r="C16" s="690"/>
      <c r="D16" s="310">
        <v>1397</v>
      </c>
      <c r="E16" s="310"/>
      <c r="F16" s="693">
        <f t="shared" si="1"/>
        <v>1397</v>
      </c>
    </row>
    <row r="17" spans="1:6" x14ac:dyDescent="0.25">
      <c r="A17" s="71" t="s">
        <v>415</v>
      </c>
      <c r="B17" s="509"/>
      <c r="C17" s="690"/>
      <c r="D17" s="310">
        <v>6108</v>
      </c>
      <c r="E17" s="310"/>
      <c r="F17" s="693">
        <f t="shared" si="1"/>
        <v>6108</v>
      </c>
    </row>
    <row r="18" spans="1:6" x14ac:dyDescent="0.25">
      <c r="A18" s="71" t="s">
        <v>416</v>
      </c>
      <c r="B18" s="509"/>
      <c r="C18" s="690"/>
      <c r="D18" s="310">
        <v>2099</v>
      </c>
      <c r="E18" s="691">
        <f t="shared" ref="E18:E23" si="2">+D18</f>
        <v>2099</v>
      </c>
      <c r="F18" s="692"/>
    </row>
    <row r="19" spans="1:6" x14ac:dyDescent="0.25">
      <c r="A19" s="71" t="s">
        <v>417</v>
      </c>
      <c r="B19" s="509"/>
      <c r="C19" s="690"/>
      <c r="D19" s="310">
        <v>1954</v>
      </c>
      <c r="E19" s="691">
        <f t="shared" si="2"/>
        <v>1954</v>
      </c>
      <c r="F19" s="692"/>
    </row>
    <row r="20" spans="1:6" x14ac:dyDescent="0.25">
      <c r="A20" s="71" t="s">
        <v>418</v>
      </c>
      <c r="B20" s="509"/>
      <c r="C20" s="690"/>
      <c r="D20" s="310">
        <v>500</v>
      </c>
      <c r="E20" s="691">
        <f t="shared" si="2"/>
        <v>500</v>
      </c>
      <c r="F20" s="692"/>
    </row>
    <row r="21" spans="1:6" x14ac:dyDescent="0.25">
      <c r="A21" s="71" t="s">
        <v>419</v>
      </c>
      <c r="B21" s="509"/>
      <c r="C21" s="690"/>
      <c r="D21" s="310">
        <v>821</v>
      </c>
      <c r="E21" s="691">
        <f t="shared" si="2"/>
        <v>821</v>
      </c>
      <c r="F21" s="692"/>
    </row>
    <row r="22" spans="1:6" x14ac:dyDescent="0.25">
      <c r="A22" s="71" t="s">
        <v>420</v>
      </c>
      <c r="B22" s="509"/>
      <c r="C22" s="690"/>
      <c r="D22" s="310">
        <v>2047</v>
      </c>
      <c r="E22" s="691">
        <f t="shared" si="2"/>
        <v>2047</v>
      </c>
      <c r="F22" s="692"/>
    </row>
    <row r="23" spans="1:6" x14ac:dyDescent="0.25">
      <c r="A23" s="71" t="s">
        <v>421</v>
      </c>
      <c r="B23" s="509"/>
      <c r="C23" s="690"/>
      <c r="D23" s="310">
        <v>2681</v>
      </c>
      <c r="E23" s="691">
        <f t="shared" si="2"/>
        <v>2681</v>
      </c>
      <c r="F23" s="692"/>
    </row>
    <row r="24" spans="1:6" x14ac:dyDescent="0.25">
      <c r="A24" s="71" t="s">
        <v>422</v>
      </c>
      <c r="B24" s="509"/>
      <c r="C24" s="690"/>
      <c r="D24" s="310">
        <v>3584</v>
      </c>
      <c r="E24" s="310"/>
      <c r="F24" s="693">
        <f>+D24</f>
        <v>3584</v>
      </c>
    </row>
    <row r="25" spans="1:6" x14ac:dyDescent="0.25">
      <c r="A25" s="71" t="s">
        <v>423</v>
      </c>
      <c r="B25" s="509"/>
      <c r="C25" s="690"/>
      <c r="D25" s="310">
        <v>4085</v>
      </c>
      <c r="E25" s="691">
        <f>+D25</f>
        <v>4085</v>
      </c>
      <c r="F25" s="692"/>
    </row>
    <row r="26" spans="1:6" x14ac:dyDescent="0.25">
      <c r="A26" s="71" t="s">
        <v>424</v>
      </c>
      <c r="B26" s="509"/>
      <c r="C26" s="690"/>
      <c r="D26" s="310">
        <v>800</v>
      </c>
      <c r="E26" s="310"/>
      <c r="F26" s="693">
        <f t="shared" ref="F26:F27" si="3">+D26</f>
        <v>800</v>
      </c>
    </row>
    <row r="27" spans="1:6" x14ac:dyDescent="0.25">
      <c r="A27" s="71" t="s">
        <v>422</v>
      </c>
      <c r="B27" s="509"/>
      <c r="C27" s="690"/>
      <c r="D27" s="310">
        <v>2550</v>
      </c>
      <c r="E27" s="310"/>
      <c r="F27" s="693">
        <f t="shared" si="3"/>
        <v>2550</v>
      </c>
    </row>
    <row r="28" spans="1:6" x14ac:dyDescent="0.25">
      <c r="A28" s="71" t="s">
        <v>425</v>
      </c>
      <c r="B28" s="509"/>
      <c r="C28" s="690"/>
      <c r="D28" s="310">
        <v>852</v>
      </c>
      <c r="E28" s="691">
        <f t="shared" ref="E28:E46" si="4">+D28</f>
        <v>852</v>
      </c>
      <c r="F28" s="692"/>
    </row>
    <row r="29" spans="1:6" x14ac:dyDescent="0.25">
      <c r="A29" s="71" t="s">
        <v>426</v>
      </c>
      <c r="B29" s="509"/>
      <c r="C29" s="690"/>
      <c r="D29" s="310">
        <v>2089</v>
      </c>
      <c r="E29" s="691">
        <f t="shared" si="4"/>
        <v>2089</v>
      </c>
      <c r="F29" s="692"/>
    </row>
    <row r="30" spans="1:6" x14ac:dyDescent="0.25">
      <c r="A30" s="71" t="s">
        <v>421</v>
      </c>
      <c r="B30" s="509"/>
      <c r="C30" s="690"/>
      <c r="D30" s="310">
        <v>3451</v>
      </c>
      <c r="E30" s="691">
        <f t="shared" si="4"/>
        <v>3451</v>
      </c>
      <c r="F30" s="692"/>
    </row>
    <row r="31" spans="1:6" x14ac:dyDescent="0.25">
      <c r="A31" s="71" t="s">
        <v>425</v>
      </c>
      <c r="B31" s="509"/>
      <c r="C31" s="690"/>
      <c r="D31" s="310">
        <v>822</v>
      </c>
      <c r="E31" s="691">
        <f t="shared" si="4"/>
        <v>822</v>
      </c>
      <c r="F31" s="692"/>
    </row>
    <row r="32" spans="1:6" x14ac:dyDescent="0.25">
      <c r="A32" s="71" t="s">
        <v>426</v>
      </c>
      <c r="B32" s="509"/>
      <c r="C32" s="690"/>
      <c r="D32" s="310">
        <v>2048</v>
      </c>
      <c r="E32" s="691">
        <f t="shared" si="4"/>
        <v>2048</v>
      </c>
      <c r="F32" s="692"/>
    </row>
    <row r="33" spans="1:6" x14ac:dyDescent="0.25">
      <c r="A33" s="71" t="s">
        <v>421</v>
      </c>
      <c r="B33" s="509"/>
      <c r="C33" s="690"/>
      <c r="D33" s="310">
        <v>3452</v>
      </c>
      <c r="E33" s="691">
        <f t="shared" si="4"/>
        <v>3452</v>
      </c>
      <c r="F33" s="692"/>
    </row>
    <row r="34" spans="1:6" x14ac:dyDescent="0.25">
      <c r="A34" s="71" t="s">
        <v>427</v>
      </c>
      <c r="B34" s="509"/>
      <c r="C34" s="690"/>
      <c r="D34" s="310">
        <v>500</v>
      </c>
      <c r="E34" s="691">
        <f t="shared" si="4"/>
        <v>500</v>
      </c>
      <c r="F34" s="692"/>
    </row>
    <row r="35" spans="1:6" x14ac:dyDescent="0.25">
      <c r="A35" s="71" t="s">
        <v>427</v>
      </c>
      <c r="B35" s="509"/>
      <c r="C35" s="690"/>
      <c r="D35" s="310">
        <v>500</v>
      </c>
      <c r="E35" s="691">
        <f t="shared" si="4"/>
        <v>500</v>
      </c>
      <c r="F35" s="692"/>
    </row>
    <row r="36" spans="1:6" x14ac:dyDescent="0.25">
      <c r="A36" s="71" t="s">
        <v>418</v>
      </c>
      <c r="B36" s="509"/>
      <c r="C36" s="690"/>
      <c r="D36" s="310">
        <v>500</v>
      </c>
      <c r="E36" s="691">
        <f t="shared" si="4"/>
        <v>500</v>
      </c>
      <c r="F36" s="692"/>
    </row>
    <row r="37" spans="1:6" x14ac:dyDescent="0.25">
      <c r="A37" s="71" t="s">
        <v>425</v>
      </c>
      <c r="B37" s="509"/>
      <c r="C37" s="690"/>
      <c r="D37" s="310">
        <v>822</v>
      </c>
      <c r="E37" s="691">
        <f t="shared" si="4"/>
        <v>822</v>
      </c>
      <c r="F37" s="692"/>
    </row>
    <row r="38" spans="1:6" x14ac:dyDescent="0.25">
      <c r="A38" s="71" t="s">
        <v>420</v>
      </c>
      <c r="B38" s="509"/>
      <c r="C38" s="690"/>
      <c r="D38" s="310">
        <v>2048</v>
      </c>
      <c r="E38" s="691">
        <f t="shared" si="4"/>
        <v>2048</v>
      </c>
      <c r="F38" s="692"/>
    </row>
    <row r="39" spans="1:6" x14ac:dyDescent="0.25">
      <c r="A39" s="71" t="s">
        <v>421</v>
      </c>
      <c r="B39" s="509"/>
      <c r="C39" s="690"/>
      <c r="D39" s="310">
        <v>2648</v>
      </c>
      <c r="E39" s="691">
        <f t="shared" si="4"/>
        <v>2648</v>
      </c>
      <c r="F39" s="692"/>
    </row>
    <row r="40" spans="1:6" x14ac:dyDescent="0.25">
      <c r="A40" s="71" t="s">
        <v>428</v>
      </c>
      <c r="B40" s="509"/>
      <c r="C40" s="690"/>
      <c r="D40" s="310">
        <v>1325</v>
      </c>
      <c r="E40" s="691">
        <f t="shared" si="4"/>
        <v>1325</v>
      </c>
      <c r="F40" s="692"/>
    </row>
    <row r="41" spans="1:6" x14ac:dyDescent="0.25">
      <c r="A41" s="71" t="s">
        <v>429</v>
      </c>
      <c r="B41" s="509"/>
      <c r="C41" s="690"/>
      <c r="D41" s="310">
        <v>1621</v>
      </c>
      <c r="E41" s="691">
        <f t="shared" si="4"/>
        <v>1621</v>
      </c>
      <c r="F41" s="692"/>
    </row>
    <row r="42" spans="1:6" x14ac:dyDescent="0.25">
      <c r="A42" s="71" t="s">
        <v>430</v>
      </c>
      <c r="B42" s="509"/>
      <c r="C42" s="690"/>
      <c r="D42" s="310">
        <v>5110</v>
      </c>
      <c r="E42" s="691">
        <f t="shared" si="4"/>
        <v>5110</v>
      </c>
      <c r="F42" s="692"/>
    </row>
    <row r="43" spans="1:6" x14ac:dyDescent="0.25">
      <c r="A43" s="71" t="s">
        <v>431</v>
      </c>
      <c r="B43" s="509"/>
      <c r="C43" s="690"/>
      <c r="D43" s="310">
        <v>4411</v>
      </c>
      <c r="E43" s="691">
        <f t="shared" si="4"/>
        <v>4411</v>
      </c>
      <c r="F43" s="692"/>
    </row>
    <row r="44" spans="1:6" x14ac:dyDescent="0.25">
      <c r="A44" s="71" t="s">
        <v>431</v>
      </c>
      <c r="B44" s="509"/>
      <c r="C44" s="690"/>
      <c r="D44" s="310">
        <v>1856</v>
      </c>
      <c r="E44" s="691">
        <f t="shared" si="4"/>
        <v>1856</v>
      </c>
      <c r="F44" s="692"/>
    </row>
    <row r="45" spans="1:6" x14ac:dyDescent="0.25">
      <c r="A45" s="71" t="s">
        <v>432</v>
      </c>
      <c r="B45" s="509"/>
      <c r="C45" s="690"/>
      <c r="D45" s="310">
        <v>4211</v>
      </c>
      <c r="E45" s="691">
        <f t="shared" si="4"/>
        <v>4211</v>
      </c>
      <c r="F45" s="692"/>
    </row>
    <row r="46" spans="1:6" x14ac:dyDescent="0.25">
      <c r="A46" s="71" t="s">
        <v>433</v>
      </c>
      <c r="B46" s="509"/>
      <c r="C46" s="690"/>
      <c r="D46" s="310">
        <v>29385</v>
      </c>
      <c r="E46" s="691">
        <f t="shared" si="4"/>
        <v>29385</v>
      </c>
      <c r="F46" s="692"/>
    </row>
    <row r="47" spans="1:6" x14ac:dyDescent="0.25">
      <c r="A47" s="71" t="s">
        <v>434</v>
      </c>
      <c r="B47" s="509"/>
      <c r="C47" s="690"/>
      <c r="D47" s="310">
        <v>2895</v>
      </c>
      <c r="E47" s="310"/>
      <c r="F47" s="693">
        <f t="shared" ref="F47:F48" si="5">+D47</f>
        <v>2895</v>
      </c>
    </row>
    <row r="48" spans="1:6" x14ac:dyDescent="0.25">
      <c r="A48" s="71" t="s">
        <v>435</v>
      </c>
      <c r="B48" s="509"/>
      <c r="C48" s="690"/>
      <c r="D48" s="310">
        <v>1500</v>
      </c>
      <c r="E48" s="310"/>
      <c r="F48" s="693">
        <f t="shared" si="5"/>
        <v>1500</v>
      </c>
    </row>
    <row r="49" spans="1:9" x14ac:dyDescent="0.25">
      <c r="A49" s="71" t="s">
        <v>436</v>
      </c>
      <c r="B49" s="509"/>
      <c r="C49" s="690"/>
      <c r="D49" s="310">
        <v>650</v>
      </c>
      <c r="E49" s="691">
        <f t="shared" ref="E49:E50" si="6">+D49</f>
        <v>650</v>
      </c>
      <c r="F49" s="692"/>
    </row>
    <row r="50" spans="1:9" x14ac:dyDescent="0.25">
      <c r="A50" s="71" t="s">
        <v>437</v>
      </c>
      <c r="B50" s="509"/>
      <c r="C50" s="690"/>
      <c r="D50" s="310">
        <v>3650</v>
      </c>
      <c r="E50" s="691">
        <f t="shared" si="6"/>
        <v>3650</v>
      </c>
      <c r="F50" s="692"/>
    </row>
    <row r="51" spans="1:9" x14ac:dyDescent="0.25">
      <c r="A51" s="71" t="s">
        <v>438</v>
      </c>
      <c r="B51" s="509"/>
      <c r="C51" s="690"/>
      <c r="D51" s="310">
        <v>750</v>
      </c>
      <c r="E51" s="310"/>
      <c r="F51" s="693">
        <f>+D51</f>
        <v>750</v>
      </c>
    </row>
    <row r="52" spans="1:9" x14ac:dyDescent="0.25">
      <c r="A52" s="71"/>
      <c r="B52" s="509"/>
      <c r="C52" s="690"/>
      <c r="D52" s="310"/>
      <c r="E52" s="691"/>
      <c r="F52" s="692"/>
    </row>
    <row r="53" spans="1:9" x14ac:dyDescent="0.25">
      <c r="A53" s="71"/>
      <c r="B53" s="509"/>
      <c r="C53" s="690"/>
      <c r="D53" s="310"/>
      <c r="E53" s="691"/>
      <c r="F53" s="692"/>
    </row>
    <row r="54" spans="1:9" x14ac:dyDescent="0.25">
      <c r="A54" s="694" t="s">
        <v>128</v>
      </c>
      <c r="B54" s="695"/>
      <c r="C54" s="695"/>
      <c r="D54" s="733">
        <f>+SUM(D7:D53)</f>
        <v>147943</v>
      </c>
      <c r="E54" s="733">
        <f>+SUM(E7:E53)</f>
        <v>94694</v>
      </c>
      <c r="F54" s="734">
        <f>+SUM(F7:F53)</f>
        <v>53249</v>
      </c>
      <c r="H54" s="140" t="s">
        <v>6</v>
      </c>
      <c r="I54" s="266">
        <f>+D54-E54-F54</f>
        <v>0</v>
      </c>
    </row>
    <row r="55" spans="1:9" x14ac:dyDescent="0.25">
      <c r="A55" s="76"/>
      <c r="B55" s="88"/>
      <c r="C55" s="88"/>
      <c r="D55" s="696"/>
      <c r="E55" s="735">
        <f>+E54/D54</f>
        <v>0.64007083809304932</v>
      </c>
      <c r="F55" s="735">
        <f>+F54/D54</f>
        <v>0.35992916190695062</v>
      </c>
    </row>
    <row r="56" spans="1:9" x14ac:dyDescent="0.25">
      <c r="A56" s="375" t="s">
        <v>26</v>
      </c>
      <c r="B56" s="308"/>
      <c r="C56" s="736">
        <v>0.125</v>
      </c>
      <c r="D56" s="429">
        <f>+D54*0.125</f>
        <v>18492.875</v>
      </c>
      <c r="E56" s="429">
        <f>+E54*0.125</f>
        <v>11836.75</v>
      </c>
      <c r="F56" s="429">
        <f>+F54*0.125</f>
        <v>6656.125</v>
      </c>
    </row>
    <row r="57" spans="1:9" x14ac:dyDescent="0.25">
      <c r="A57" s="76"/>
      <c r="B57" s="88"/>
      <c r="C57" s="88"/>
      <c r="D57" s="696"/>
      <c r="E57" s="696"/>
      <c r="F57" s="696"/>
    </row>
    <row r="58" spans="1:9" x14ac:dyDescent="0.25">
      <c r="A58" s="375" t="s">
        <v>27</v>
      </c>
      <c r="B58" s="308"/>
      <c r="C58" s="697"/>
      <c r="D58" s="393"/>
      <c r="E58" s="393"/>
      <c r="F58" s="698"/>
    </row>
    <row r="59" spans="1:9" ht="15.75" thickBot="1" x14ac:dyDescent="0.3">
      <c r="A59" s="76" t="s">
        <v>181</v>
      </c>
      <c r="B59" s="699">
        <v>10000</v>
      </c>
      <c r="C59" s="700"/>
      <c r="D59" s="701"/>
      <c r="E59" s="702"/>
      <c r="F59" s="702"/>
    </row>
    <row r="60" spans="1:9" ht="15.75" thickTop="1" x14ac:dyDescent="0.25">
      <c r="A60" s="76" t="s">
        <v>184</v>
      </c>
      <c r="B60" s="737">
        <f>+D54-B59</f>
        <v>137943</v>
      </c>
      <c r="C60" s="703" t="s">
        <v>185</v>
      </c>
      <c r="D60" s="704"/>
      <c r="E60" s="705"/>
      <c r="F60" s="705"/>
      <c r="G60" s="85"/>
    </row>
    <row r="61" spans="1:9" x14ac:dyDescent="0.25">
      <c r="A61" s="706" t="s">
        <v>186</v>
      </c>
      <c r="B61" s="632">
        <f>+B60-B62</f>
        <v>87943</v>
      </c>
      <c r="C61" s="738">
        <f>+'B_1 Geb. Kaltmiete'!C87</f>
        <v>1.4999999999999999E-2</v>
      </c>
      <c r="D61" s="739">
        <f>+C61*B61</f>
        <v>1319.145</v>
      </c>
      <c r="E61" s="741">
        <f>+D61*$E$55</f>
        <v>844.34624571625557</v>
      </c>
      <c r="F61" s="741">
        <f>+D61*$F$55</f>
        <v>474.79875428374436</v>
      </c>
      <c r="G61" s="85"/>
    </row>
    <row r="62" spans="1:9" x14ac:dyDescent="0.25">
      <c r="A62" s="706" t="s">
        <v>187</v>
      </c>
      <c r="B62" s="603">
        <v>50000</v>
      </c>
      <c r="C62" s="707">
        <v>1.2999999999999999E-2</v>
      </c>
      <c r="D62" s="740">
        <f>+C62*B62</f>
        <v>650</v>
      </c>
      <c r="E62" s="742">
        <f>+D62*$E$55</f>
        <v>416.04604476048206</v>
      </c>
      <c r="F62" s="742">
        <f>+D62*$F$55</f>
        <v>233.95395523951791</v>
      </c>
      <c r="G62" s="85"/>
    </row>
    <row r="63" spans="1:9" x14ac:dyDescent="0.25">
      <c r="A63" s="708" t="s">
        <v>27</v>
      </c>
      <c r="B63" s="709"/>
      <c r="C63" s="710"/>
      <c r="D63" s="743">
        <f>SUM(D61:D62)</f>
        <v>1969.145</v>
      </c>
      <c r="E63" s="743">
        <f>SUM(E61:E62)</f>
        <v>1260.3922904767376</v>
      </c>
      <c r="F63" s="743">
        <f>SUM(F61:F62)</f>
        <v>708.7527095232623</v>
      </c>
      <c r="H63" s="140" t="s">
        <v>6</v>
      </c>
      <c r="I63" s="266">
        <f>+D63-E63-F63</f>
        <v>0</v>
      </c>
    </row>
    <row r="64" spans="1:9" x14ac:dyDescent="0.25">
      <c r="A64" s="711"/>
      <c r="B64" s="148"/>
      <c r="C64" s="712"/>
      <c r="D64" s="713"/>
      <c r="E64" s="714"/>
      <c r="F64" s="714"/>
      <c r="H64" s="715"/>
    </row>
    <row r="65" spans="1:10" x14ac:dyDescent="0.25">
      <c r="A65" s="708" t="s">
        <v>14</v>
      </c>
      <c r="B65" s="709"/>
      <c r="C65" s="745">
        <v>8.0000000000000002E-3</v>
      </c>
      <c r="D65" s="566">
        <f>+D54*C65</f>
        <v>1183.5440000000001</v>
      </c>
      <c r="E65" s="566">
        <f>+C65*E54</f>
        <v>757.55200000000002</v>
      </c>
      <c r="F65" s="566">
        <f>+F54*C65</f>
        <v>425.99200000000002</v>
      </c>
      <c r="H65" s="715"/>
    </row>
    <row r="66" spans="1:10" x14ac:dyDescent="0.25">
      <c r="A66" s="716"/>
      <c r="B66" s="395"/>
      <c r="C66" s="717"/>
      <c r="D66" s="551"/>
      <c r="E66" s="718"/>
      <c r="F66" s="718"/>
      <c r="H66" s="715"/>
    </row>
    <row r="67" spans="1:10" x14ac:dyDescent="0.25">
      <c r="A67" s="708" t="s">
        <v>250</v>
      </c>
      <c r="B67" s="709"/>
      <c r="C67" s="719"/>
      <c r="D67" s="720"/>
      <c r="E67" s="720"/>
      <c r="F67" s="721"/>
      <c r="H67" s="715"/>
    </row>
    <row r="68" spans="1:10" x14ac:dyDescent="0.25">
      <c r="A68" s="383" t="s">
        <v>28</v>
      </c>
      <c r="B68" s="722" t="s">
        <v>189</v>
      </c>
      <c r="C68" s="723" t="s">
        <v>55</v>
      </c>
      <c r="D68" s="724">
        <v>4019</v>
      </c>
      <c r="E68" s="438">
        <f>+'A Flächen'!E174*'D Ausstatt.'!D68</f>
        <v>3261.851592209654</v>
      </c>
      <c r="F68" s="438">
        <f>+D68*'A Flächen'!E175</f>
        <v>757.14840779034591</v>
      </c>
      <c r="H68" s="715"/>
      <c r="I68" s="919"/>
      <c r="J68" s="919"/>
    </row>
    <row r="69" spans="1:10" x14ac:dyDescent="0.25">
      <c r="A69" s="383" t="s">
        <v>195</v>
      </c>
      <c r="B69" s="101" t="s">
        <v>189</v>
      </c>
      <c r="C69" s="723" t="s">
        <v>55</v>
      </c>
      <c r="D69" s="724">
        <v>2345.5300000000002</v>
      </c>
      <c r="E69" s="438">
        <f>+D69*'A Flächen'!E174</f>
        <v>1903.6503520964197</v>
      </c>
      <c r="F69" s="438">
        <f>+D69*'A Flächen'!E175</f>
        <v>441.87964790358058</v>
      </c>
      <c r="H69" s="715"/>
      <c r="I69" s="919"/>
      <c r="J69" s="919"/>
    </row>
    <row r="70" spans="1:10" x14ac:dyDescent="0.25">
      <c r="A70" s="708" t="s">
        <v>129</v>
      </c>
      <c r="B70" s="709"/>
      <c r="C70" s="710"/>
      <c r="D70" s="566">
        <f>+D69+D68</f>
        <v>6364.5300000000007</v>
      </c>
      <c r="E70" s="566">
        <f>+E69+E68</f>
        <v>5165.5019443060737</v>
      </c>
      <c r="F70" s="566">
        <f>+F69+F68</f>
        <v>1199.0280556939265</v>
      </c>
      <c r="H70" s="715"/>
    </row>
    <row r="71" spans="1:10" x14ac:dyDescent="0.25">
      <c r="A71" s="74"/>
      <c r="B71" s="147"/>
      <c r="C71" s="725"/>
      <c r="D71" s="726"/>
      <c r="E71" s="714"/>
      <c r="F71" s="714"/>
      <c r="H71" s="715"/>
    </row>
    <row r="72" spans="1:10" x14ac:dyDescent="0.25">
      <c r="A72" s="708" t="s">
        <v>130</v>
      </c>
      <c r="B72" s="709"/>
      <c r="C72" s="301"/>
      <c r="D72" s="566">
        <f>+D70+D65+D63+D56</f>
        <v>28010.094000000001</v>
      </c>
      <c r="E72" s="566">
        <f>+E70+E65+E63+E56</f>
        <v>19020.196234782812</v>
      </c>
      <c r="F72" s="566">
        <f>+F70+F65+F63+F56</f>
        <v>8989.8977652171889</v>
      </c>
    </row>
    <row r="73" spans="1:10" x14ac:dyDescent="0.25">
      <c r="A73" s="398"/>
      <c r="B73" s="150"/>
      <c r="C73" s="150"/>
      <c r="D73" s="404"/>
      <c r="E73" s="334"/>
      <c r="F73" s="334"/>
    </row>
    <row r="74" spans="1:10" x14ac:dyDescent="0.25">
      <c r="A74" s="546" t="s">
        <v>18</v>
      </c>
      <c r="B74" s="92"/>
      <c r="C74" s="641">
        <f>+'B_1 Geb. Kaltmiete'!B105</f>
        <v>0.96499999999999997</v>
      </c>
      <c r="D74" s="727"/>
      <c r="E74" s="728"/>
      <c r="F74" s="728"/>
    </row>
    <row r="75" spans="1:10" x14ac:dyDescent="0.25">
      <c r="A75" s="76" t="s">
        <v>196</v>
      </c>
      <c r="B75" s="729"/>
      <c r="C75" s="746">
        <f>+Stammdaten!B7*12*C74</f>
        <v>277.92</v>
      </c>
      <c r="D75" s="729"/>
      <c r="E75" s="730"/>
      <c r="F75" s="730"/>
    </row>
    <row r="76" spans="1:10" ht="18.75" x14ac:dyDescent="0.3">
      <c r="A76" s="424" t="s">
        <v>248</v>
      </c>
      <c r="B76" s="425"/>
      <c r="C76" s="731"/>
      <c r="D76" s="747">
        <f>+D72/$C$75</f>
        <v>100.78473661485319</v>
      </c>
      <c r="E76" s="747">
        <f>+E72/$C$75</f>
        <v>68.437666360041774</v>
      </c>
      <c r="F76" s="747">
        <f>+F72/$C$75</f>
        <v>32.347070254811413</v>
      </c>
      <c r="H76" s="140" t="s">
        <v>6</v>
      </c>
      <c r="I76" s="266">
        <f>+F76+E76-D76</f>
        <v>0</v>
      </c>
    </row>
    <row r="77" spans="1:10" x14ac:dyDescent="0.25">
      <c r="D77" s="732"/>
      <c r="E77" s="732"/>
      <c r="F77" s="732"/>
    </row>
    <row r="78" spans="1:10" x14ac:dyDescent="0.25">
      <c r="D78" s="732"/>
      <c r="E78" s="732"/>
      <c r="F78" s="732"/>
    </row>
    <row r="79" spans="1:10" x14ac:dyDescent="0.25">
      <c r="D79" s="732"/>
      <c r="E79" s="732"/>
      <c r="F79" s="732"/>
    </row>
    <row r="80" spans="1:10" x14ac:dyDescent="0.25">
      <c r="D80" s="732"/>
      <c r="E80" s="732"/>
      <c r="F80" s="732"/>
    </row>
    <row r="81" spans="4:6" x14ac:dyDescent="0.25">
      <c r="D81" s="732"/>
      <c r="E81" s="732"/>
      <c r="F81" s="732"/>
    </row>
    <row r="82" spans="4:6" x14ac:dyDescent="0.25">
      <c r="D82" s="732"/>
      <c r="E82" s="732"/>
      <c r="F82" s="732"/>
    </row>
    <row r="83" spans="4:6" x14ac:dyDescent="0.25">
      <c r="D83" s="732"/>
      <c r="E83" s="732"/>
      <c r="F83" s="732"/>
    </row>
    <row r="84" spans="4:6" x14ac:dyDescent="0.25">
      <c r="D84" s="732"/>
      <c r="E84" s="732"/>
      <c r="F84" s="732"/>
    </row>
    <row r="85" spans="4:6" x14ac:dyDescent="0.25">
      <c r="D85" s="732"/>
      <c r="E85" s="732"/>
      <c r="F85" s="732"/>
    </row>
    <row r="86" spans="4:6" x14ac:dyDescent="0.25">
      <c r="D86" s="732"/>
      <c r="E86" s="732"/>
      <c r="F86" s="732"/>
    </row>
    <row r="87" spans="4:6" x14ac:dyDescent="0.25">
      <c r="D87" s="732"/>
      <c r="E87" s="732"/>
      <c r="F87" s="732"/>
    </row>
    <row r="88" spans="4:6" x14ac:dyDescent="0.25">
      <c r="D88" s="732"/>
      <c r="E88" s="732"/>
      <c r="F88" s="732"/>
    </row>
    <row r="89" spans="4:6" x14ac:dyDescent="0.25">
      <c r="D89" s="732"/>
      <c r="E89" s="732"/>
      <c r="F89" s="732"/>
    </row>
    <row r="90" spans="4:6" x14ac:dyDescent="0.25">
      <c r="D90" s="732"/>
      <c r="E90" s="732"/>
      <c r="F90" s="732"/>
    </row>
    <row r="91" spans="4:6" x14ac:dyDescent="0.25">
      <c r="D91" s="732"/>
      <c r="E91" s="732"/>
      <c r="F91" s="732"/>
    </row>
    <row r="92" spans="4:6" x14ac:dyDescent="0.25">
      <c r="D92" s="732"/>
      <c r="E92" s="732"/>
      <c r="F92" s="732"/>
    </row>
    <row r="93" spans="4:6" x14ac:dyDescent="0.25">
      <c r="D93" s="732"/>
      <c r="E93" s="732"/>
      <c r="F93" s="732"/>
    </row>
    <row r="94" spans="4:6" x14ac:dyDescent="0.25">
      <c r="D94" s="732"/>
      <c r="E94" s="732"/>
      <c r="F94" s="732"/>
    </row>
    <row r="95" spans="4:6" x14ac:dyDescent="0.25">
      <c r="D95" s="732"/>
      <c r="E95" s="732"/>
      <c r="F95" s="732"/>
    </row>
    <row r="96" spans="4:6" x14ac:dyDescent="0.25">
      <c r="D96" s="732"/>
      <c r="E96" s="732"/>
      <c r="F96" s="732"/>
    </row>
    <row r="97" spans="4:6" x14ac:dyDescent="0.25">
      <c r="D97" s="732"/>
      <c r="E97" s="732"/>
      <c r="F97" s="732"/>
    </row>
    <row r="98" spans="4:6" x14ac:dyDescent="0.25">
      <c r="D98" s="732"/>
      <c r="E98" s="732"/>
      <c r="F98" s="732"/>
    </row>
    <row r="99" spans="4:6" x14ac:dyDescent="0.25">
      <c r="D99" s="732"/>
      <c r="E99" s="732"/>
      <c r="F99" s="732"/>
    </row>
  </sheetData>
  <sheetProtection sheet="1" objects="1" scenarios="1"/>
  <mergeCells count="1">
    <mergeCell ref="A5:C5"/>
  </mergeCells>
  <conditionalFormatting sqref="I54">
    <cfRule type="expression" dxfId="29" priority="3">
      <formula>OR(I54&lt;-0.0009,I54&gt;0.0009)</formula>
    </cfRule>
  </conditionalFormatting>
  <conditionalFormatting sqref="I63">
    <cfRule type="expression" dxfId="28" priority="2">
      <formula>OR(I63&lt;-0.0009,I63&gt;0.0009)</formula>
    </cfRule>
  </conditionalFormatting>
  <conditionalFormatting sqref="I76">
    <cfRule type="expression" dxfId="27" priority="1">
      <formula>OR(I76&lt;-0.0009,I76&gt;0.0009)</formula>
    </cfRule>
  </conditionalFormatting>
  <pageMargins left="0.7" right="0.7" top="0.78740157499999996" bottom="0.78740157499999996" header="0.3" footer="0.3"/>
  <pageSetup paperSize="9" scale="74" fitToWidth="0" fitToHeight="0"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4" tint="-0.499984740745262"/>
  </sheetPr>
  <dimension ref="A1:L51"/>
  <sheetViews>
    <sheetView zoomScaleNormal="100" workbookViewId="0">
      <selection activeCell="A4" sqref="A4"/>
    </sheetView>
  </sheetViews>
  <sheetFormatPr baseColWidth="10" defaultRowHeight="15" x14ac:dyDescent="0.25"/>
  <cols>
    <col min="1" max="1" width="11.42578125" style="67"/>
    <col min="2" max="3" width="11.42578125" style="67" customWidth="1"/>
    <col min="4" max="4" width="13" style="67" bestFit="1" customWidth="1"/>
    <col min="5" max="5" width="13.28515625" style="67" customWidth="1"/>
    <col min="6" max="6" width="13.42578125" style="67" customWidth="1"/>
    <col min="7" max="7" width="15.28515625" style="67" customWidth="1"/>
    <col min="8" max="8" width="17.85546875" style="67" customWidth="1"/>
    <col min="9" max="9" width="17.42578125" style="67" customWidth="1"/>
    <col min="10" max="16384" width="11.42578125" style="67"/>
  </cols>
  <sheetData>
    <row r="1" spans="1:10" ht="26.25" x14ac:dyDescent="0.4">
      <c r="A1" s="64" t="s">
        <v>30</v>
      </c>
      <c r="B1" s="572"/>
      <c r="C1" s="572"/>
      <c r="D1" s="572"/>
      <c r="E1" s="572"/>
      <c r="F1" s="65"/>
      <c r="G1" s="145"/>
      <c r="H1" s="145"/>
      <c r="I1" s="92"/>
    </row>
    <row r="2" spans="1:10" ht="26.25" x14ac:dyDescent="0.4">
      <c r="A2" s="748" t="s">
        <v>143</v>
      </c>
      <c r="B2" s="577"/>
      <c r="C2" s="577"/>
      <c r="D2" s="577"/>
      <c r="E2" s="577"/>
      <c r="F2" s="69"/>
      <c r="G2" s="147"/>
      <c r="H2" s="147"/>
      <c r="I2" s="70" t="str">
        <f>+Stammdaten!D2</f>
        <v>Version 1.3</v>
      </c>
    </row>
    <row r="3" spans="1:10" x14ac:dyDescent="0.25">
      <c r="A3" s="643" t="str">
        <f>+Stammdaten!B5</f>
        <v>Wohnheim Musterdorf</v>
      </c>
      <c r="B3" s="149"/>
      <c r="C3" s="150"/>
      <c r="D3" s="473" t="str">
        <f>+Stammdaten!B3</f>
        <v>Beispiel-Landkreis</v>
      </c>
      <c r="E3" s="150"/>
      <c r="F3" s="149"/>
      <c r="G3" s="534"/>
      <c r="H3" s="71" t="s">
        <v>45</v>
      </c>
      <c r="I3" s="72"/>
    </row>
    <row r="4" spans="1:10" ht="18.75" x14ac:dyDescent="0.3">
      <c r="A4" s="749"/>
      <c r="B4" s="69"/>
      <c r="C4" s="69"/>
      <c r="D4" s="69"/>
      <c r="E4" s="69"/>
      <c r="F4" s="750"/>
      <c r="G4" s="69"/>
      <c r="H4" s="69"/>
      <c r="I4" s="73"/>
    </row>
    <row r="5" spans="1:10" ht="37.5" x14ac:dyDescent="0.3">
      <c r="A5" s="78"/>
      <c r="B5" s="69"/>
      <c r="C5" s="69"/>
      <c r="D5" s="69"/>
      <c r="E5" s="69"/>
      <c r="F5" s="69"/>
      <c r="G5" s="814" t="s">
        <v>23</v>
      </c>
      <c r="H5" s="815" t="s">
        <v>44</v>
      </c>
      <c r="I5" s="816" t="s">
        <v>5</v>
      </c>
    </row>
    <row r="6" spans="1:10" x14ac:dyDescent="0.25">
      <c r="A6" s="78"/>
      <c r="B6" s="69"/>
      <c r="C6" s="69"/>
      <c r="D6" s="69"/>
      <c r="E6" s="69"/>
      <c r="F6" s="69"/>
      <c r="G6" s="751"/>
      <c r="H6" s="751"/>
      <c r="I6" s="752"/>
    </row>
    <row r="7" spans="1:10" s="146" customFormat="1" ht="18.75" x14ac:dyDescent="0.3">
      <c r="A7" s="817" t="s">
        <v>249</v>
      </c>
      <c r="B7" s="818"/>
      <c r="C7" s="818"/>
      <c r="D7" s="818"/>
      <c r="E7" s="818"/>
      <c r="F7" s="818"/>
      <c r="G7" s="753"/>
      <c r="H7" s="808"/>
      <c r="I7" s="809"/>
    </row>
    <row r="8" spans="1:10" ht="18.75" x14ac:dyDescent="0.3">
      <c r="A8" s="819" t="s">
        <v>134</v>
      </c>
      <c r="B8" s="820"/>
      <c r="C8" s="820"/>
      <c r="D8" s="821"/>
      <c r="E8" s="820"/>
      <c r="F8" s="820"/>
      <c r="G8" s="810">
        <f>+H8+I8</f>
        <v>488.20132738932165</v>
      </c>
      <c r="H8" s="810">
        <f>+'B_1 Geb. Kaltmiete'!E124</f>
        <v>396.22798633085978</v>
      </c>
      <c r="I8" s="811">
        <f>+'B_1 Geb. Kaltmiete'!F124</f>
        <v>91.973341058461884</v>
      </c>
    </row>
    <row r="9" spans="1:10" ht="18.75" x14ac:dyDescent="0.3">
      <c r="A9" s="822" t="s">
        <v>135</v>
      </c>
      <c r="B9" s="823"/>
      <c r="C9" s="824"/>
      <c r="D9" s="825"/>
      <c r="E9" s="826"/>
      <c r="F9" s="823"/>
      <c r="G9" s="812">
        <f>+H9+I9</f>
        <v>298.08423287276912</v>
      </c>
      <c r="H9" s="812">
        <f>'C_1 Nebenk.'!D40</f>
        <v>133.55842082172117</v>
      </c>
      <c r="I9" s="813">
        <f>+'C_1 Nebenk.'!F40</f>
        <v>164.52581205104798</v>
      </c>
      <c r="J9" s="85"/>
    </row>
    <row r="10" spans="1:10" ht="18.75" x14ac:dyDescent="0.3">
      <c r="A10" s="827" t="s">
        <v>75</v>
      </c>
      <c r="B10" s="828"/>
      <c r="C10" s="829"/>
      <c r="D10" s="830"/>
      <c r="E10" s="831"/>
      <c r="F10" s="832"/>
      <c r="G10" s="812">
        <f>IF('D Ausstatt.'!D76&gt;0,+H10+I10,0)</f>
        <v>100.78473661485319</v>
      </c>
      <c r="H10" s="812">
        <f>IF('D Ausstatt.'!D76&gt;0,'D Ausstatt.'!E76,0)</f>
        <v>68.437666360041774</v>
      </c>
      <c r="I10" s="813">
        <f>IF('D Ausstatt.'!D76&gt;0,'D Ausstatt.'!F76,0)</f>
        <v>32.347070254811413</v>
      </c>
    </row>
    <row r="11" spans="1:10" ht="18.75" x14ac:dyDescent="0.3">
      <c r="A11" s="833" t="s">
        <v>231</v>
      </c>
      <c r="B11" s="834"/>
      <c r="C11" s="835"/>
      <c r="D11" s="836"/>
      <c r="E11" s="837"/>
      <c r="F11" s="838"/>
      <c r="G11" s="757"/>
      <c r="H11" s="808"/>
      <c r="I11" s="809"/>
    </row>
    <row r="12" spans="1:10" ht="18.75" x14ac:dyDescent="0.3">
      <c r="A12" s="839" t="s">
        <v>488</v>
      </c>
      <c r="B12" s="840"/>
      <c r="C12" s="840"/>
      <c r="D12" s="841"/>
      <c r="E12" s="840"/>
      <c r="F12" s="840"/>
      <c r="G12" s="800">
        <f>+SUM(G8:G10)*0.03</f>
        <v>26.612108906308315</v>
      </c>
      <c r="H12" s="800">
        <v>0</v>
      </c>
      <c r="I12" s="801">
        <f>+G12</f>
        <v>26.612108906308315</v>
      </c>
    </row>
    <row r="13" spans="1:10" ht="18.75" x14ac:dyDescent="0.3">
      <c r="A13" s="839" t="s">
        <v>507</v>
      </c>
      <c r="B13" s="842"/>
      <c r="C13" s="842"/>
      <c r="D13" s="843"/>
      <c r="E13" s="842"/>
      <c r="F13" s="842"/>
      <c r="G13" s="802">
        <f>IF('B_2 Sonder-Infrastr.'!H29&gt;0,'B_2 Sonder-Infrastr.'!D166,0)</f>
        <v>12.109499136442141</v>
      </c>
      <c r="H13" s="802">
        <f>IF('B_2 Sonder-Infrastr.'!H29&gt;0,'B_2 Sonder-Infrastr.'!E166,0)</f>
        <v>0</v>
      </c>
      <c r="I13" s="803">
        <f>IF('B_2 Sonder-Infrastr.'!H29&gt;0,'B_2 Sonder-Infrastr.'!F166,0)</f>
        <v>12.109499136442141</v>
      </c>
    </row>
    <row r="14" spans="1:10" ht="18.75" x14ac:dyDescent="0.3">
      <c r="A14" s="839" t="s">
        <v>508</v>
      </c>
      <c r="B14" s="844"/>
      <c r="C14" s="842"/>
      <c r="D14" s="843"/>
      <c r="E14" s="845"/>
      <c r="F14" s="844"/>
      <c r="G14" s="804">
        <f>IF('C_2 NK Sonder-Infrastr.'!C30&gt;0,'C_2 NK Sonder-Infrastr.'!C36,0)</f>
        <v>11.226252158894646</v>
      </c>
      <c r="H14" s="804">
        <f>IF('C_2 NK Sonder-Infrastr.'!D30&gt;0,'C_2 NK Sonder-Infrastr.'!D36,0)</f>
        <v>0</v>
      </c>
      <c r="I14" s="805">
        <f>IF('C_2 NK Sonder-Infrastr.'!E30&gt;0,'C_2 NK Sonder-Infrastr.'!E36,0)</f>
        <v>11.226252158894646</v>
      </c>
    </row>
    <row r="15" spans="1:10" ht="18.75" x14ac:dyDescent="0.3">
      <c r="A15" s="1003" t="s">
        <v>210</v>
      </c>
      <c r="B15" s="1004"/>
      <c r="C15" s="1004"/>
      <c r="D15" s="1004"/>
      <c r="E15" s="1004"/>
      <c r="F15" s="1005"/>
      <c r="G15" s="806">
        <f>+G8+G9+G10+G12+G13+G14</f>
        <v>937.01815707858907</v>
      </c>
      <c r="H15" s="806">
        <f>+H8+H9+H10+H12+H13+H14</f>
        <v>598.22407351262279</v>
      </c>
      <c r="I15" s="807">
        <f>+I8+I9+I10+I12+I13+I14</f>
        <v>338.79408356596633</v>
      </c>
    </row>
    <row r="16" spans="1:10" ht="15.75" thickBot="1" x14ac:dyDescent="0.3">
      <c r="A16" s="846"/>
      <c r="B16" s="823"/>
      <c r="C16" s="823"/>
      <c r="D16" s="823"/>
      <c r="E16" s="826"/>
      <c r="F16" s="823"/>
      <c r="G16" s="759"/>
      <c r="H16" s="760"/>
      <c r="I16" s="761"/>
    </row>
    <row r="17" spans="1:12" x14ac:dyDescent="0.25">
      <c r="A17" s="1009" t="s">
        <v>509</v>
      </c>
      <c r="B17" s="1010"/>
      <c r="C17" s="1010"/>
      <c r="D17" s="1010"/>
      <c r="E17" s="1010"/>
      <c r="F17" s="1010"/>
      <c r="G17" s="1010"/>
      <c r="H17" s="1010"/>
      <c r="I17" s="1011"/>
    </row>
    <row r="18" spans="1:12" x14ac:dyDescent="0.25">
      <c r="A18" s="1012"/>
      <c r="B18" s="1013"/>
      <c r="C18" s="1013"/>
      <c r="D18" s="1013"/>
      <c r="E18" s="1013"/>
      <c r="F18" s="1013"/>
      <c r="G18" s="1013"/>
      <c r="H18" s="1013"/>
      <c r="I18" s="1014"/>
    </row>
    <row r="19" spans="1:12" x14ac:dyDescent="0.25">
      <c r="A19" s="1012"/>
      <c r="B19" s="1013"/>
      <c r="C19" s="1013"/>
      <c r="D19" s="1013"/>
      <c r="E19" s="1013"/>
      <c r="F19" s="1013"/>
      <c r="G19" s="1013"/>
      <c r="H19" s="1013"/>
      <c r="I19" s="1014"/>
    </row>
    <row r="20" spans="1:12" ht="9.75" customHeight="1" thickBot="1" x14ac:dyDescent="0.3">
      <c r="A20" s="1015"/>
      <c r="B20" s="1016"/>
      <c r="C20" s="1016"/>
      <c r="D20" s="1016"/>
      <c r="E20" s="1016"/>
      <c r="F20" s="1016"/>
      <c r="G20" s="1016"/>
      <c r="H20" s="1016"/>
      <c r="I20" s="1017"/>
    </row>
    <row r="21" spans="1:12" ht="29.25" customHeight="1" x14ac:dyDescent="0.25">
      <c r="A21" s="1006" t="s">
        <v>480</v>
      </c>
      <c r="B21" s="1007"/>
      <c r="C21" s="1007"/>
      <c r="D21" s="1007"/>
      <c r="E21" s="1007"/>
      <c r="F21" s="1008"/>
      <c r="G21" s="762"/>
      <c r="H21" s="763">
        <v>459</v>
      </c>
      <c r="I21" s="764"/>
    </row>
    <row r="22" spans="1:12" ht="19.5" thickBot="1" x14ac:dyDescent="0.35">
      <c r="A22" s="765" t="s">
        <v>137</v>
      </c>
      <c r="B22" s="766"/>
      <c r="C22" s="766"/>
      <c r="D22" s="766"/>
      <c r="E22" s="767"/>
      <c r="F22" s="766"/>
      <c r="G22" s="768"/>
      <c r="H22" s="799">
        <f>H21</f>
        <v>459</v>
      </c>
      <c r="I22" s="769"/>
    </row>
    <row r="23" spans="1:12" x14ac:dyDescent="0.25">
      <c r="A23" s="758"/>
      <c r="B23" s="754"/>
      <c r="C23" s="754"/>
      <c r="D23" s="754"/>
      <c r="E23" s="755"/>
      <c r="F23" s="754"/>
      <c r="G23" s="759"/>
      <c r="H23" s="760"/>
      <c r="I23" s="761"/>
    </row>
    <row r="24" spans="1:12" ht="18.75" x14ac:dyDescent="0.3">
      <c r="A24" s="756" t="s">
        <v>139</v>
      </c>
      <c r="B24" s="770"/>
      <c r="C24" s="770"/>
      <c r="D24" s="770"/>
      <c r="E24" s="771"/>
      <c r="F24" s="770"/>
      <c r="G24" s="797">
        <f>+H24+I24</f>
        <v>478.01815707858913</v>
      </c>
      <c r="H24" s="797">
        <f>+H15-H22</f>
        <v>139.22407351262279</v>
      </c>
      <c r="I24" s="798">
        <f>+I15-I21</f>
        <v>338.79408356596633</v>
      </c>
    </row>
    <row r="25" spans="1:12" ht="15.75" thickBot="1" x14ac:dyDescent="0.3">
      <c r="A25" s="796" t="str">
        <f>+IF('E Mietber.'!H24&lt;0,"Achtung! Da KdU&lt;100% ggfs Regelsatz-Absenkung für Nebenkosten wegen anderweitiger Bedarfsdeckung","")</f>
        <v/>
      </c>
      <c r="B25" s="754"/>
      <c r="C25" s="754"/>
      <c r="D25" s="754"/>
      <c r="E25" s="755"/>
      <c r="F25" s="754"/>
      <c r="G25" s="759"/>
      <c r="H25" s="760"/>
      <c r="I25" s="761"/>
    </row>
    <row r="26" spans="1:12" x14ac:dyDescent="0.25">
      <c r="A26" s="1018" t="s">
        <v>510</v>
      </c>
      <c r="B26" s="1019"/>
      <c r="C26" s="1019"/>
      <c r="D26" s="1019"/>
      <c r="E26" s="1019"/>
      <c r="F26" s="1019"/>
      <c r="G26" s="1019"/>
      <c r="H26" s="1019"/>
      <c r="I26" s="1020"/>
    </row>
    <row r="27" spans="1:12" x14ac:dyDescent="0.25">
      <c r="A27" s="1021"/>
      <c r="B27" s="1022"/>
      <c r="C27" s="1022"/>
      <c r="D27" s="1022"/>
      <c r="E27" s="1022"/>
      <c r="F27" s="1022"/>
      <c r="G27" s="1022"/>
      <c r="H27" s="1022"/>
      <c r="I27" s="1023"/>
      <c r="K27" s="775"/>
    </row>
    <row r="28" spans="1:12" ht="20.25" customHeight="1" thickBot="1" x14ac:dyDescent="0.3">
      <c r="A28" s="1024"/>
      <c r="B28" s="1025"/>
      <c r="C28" s="1025"/>
      <c r="D28" s="1025"/>
      <c r="E28" s="1025"/>
      <c r="F28" s="1025"/>
      <c r="G28" s="1025"/>
      <c r="H28" s="1025"/>
      <c r="I28" s="1026"/>
    </row>
    <row r="29" spans="1:12" ht="18.75" x14ac:dyDescent="0.3">
      <c r="A29" s="80" t="s">
        <v>29</v>
      </c>
      <c r="B29" s="81"/>
      <c r="C29" s="81"/>
      <c r="D29" s="81"/>
      <c r="E29" s="847">
        <v>0.25</v>
      </c>
      <c r="F29" s="848">
        <f>+E29*H22</f>
        <v>114.75</v>
      </c>
      <c r="G29" s="773"/>
      <c r="H29" s="774"/>
      <c r="I29" s="764"/>
      <c r="L29" s="775"/>
    </row>
    <row r="30" spans="1:12" ht="19.5" thickBot="1" x14ac:dyDescent="0.35">
      <c r="A30" s="765" t="s">
        <v>138</v>
      </c>
      <c r="B30" s="766"/>
      <c r="C30" s="766"/>
      <c r="D30" s="766"/>
      <c r="E30" s="767"/>
      <c r="F30" s="766"/>
      <c r="G30" s="768"/>
      <c r="H30" s="799">
        <f>+IF(H24&lt;F29,H24,F29)</f>
        <v>114.75</v>
      </c>
      <c r="I30" s="769"/>
    </row>
    <row r="31" spans="1:12" ht="15.75" thickBot="1" x14ac:dyDescent="0.3">
      <c r="A31" s="776"/>
      <c r="B31" s="777"/>
      <c r="C31" s="777"/>
      <c r="D31" s="777"/>
      <c r="E31" s="777"/>
      <c r="F31" s="777"/>
      <c r="G31" s="778"/>
      <c r="H31" s="778"/>
      <c r="I31" s="779"/>
    </row>
    <row r="32" spans="1:12" ht="27" thickBot="1" x14ac:dyDescent="0.45">
      <c r="A32" s="780" t="s">
        <v>57</v>
      </c>
      <c r="B32" s="781"/>
      <c r="C32" s="781"/>
      <c r="D32" s="781"/>
      <c r="E32" s="782"/>
      <c r="F32" s="781"/>
      <c r="G32" s="783"/>
      <c r="H32" s="849">
        <f>+H30+H22</f>
        <v>573.75</v>
      </c>
      <c r="I32" s="784"/>
      <c r="K32" s="775"/>
    </row>
    <row r="33" spans="1:9" x14ac:dyDescent="0.25">
      <c r="A33" s="78"/>
      <c r="B33" s="69"/>
      <c r="C33" s="69"/>
      <c r="D33" s="69"/>
      <c r="E33" s="69"/>
      <c r="F33" s="69"/>
      <c r="G33" s="751"/>
      <c r="H33" s="751"/>
      <c r="I33" s="752"/>
    </row>
    <row r="34" spans="1:9" ht="18.75" x14ac:dyDescent="0.3">
      <c r="A34" s="756" t="s">
        <v>139</v>
      </c>
      <c r="B34" s="770"/>
      <c r="C34" s="770"/>
      <c r="D34" s="770"/>
      <c r="E34" s="771"/>
      <c r="F34" s="770"/>
      <c r="G34" s="797">
        <f>+H34+I34</f>
        <v>363.26815707858913</v>
      </c>
      <c r="H34" s="797">
        <f>+H24-H30</f>
        <v>24.474073512622795</v>
      </c>
      <c r="I34" s="798">
        <f>+I24-I29</f>
        <v>338.79408356596633</v>
      </c>
    </row>
    <row r="35" spans="1:9" ht="15.75" thickBot="1" x14ac:dyDescent="0.3">
      <c r="A35" s="78"/>
      <c r="B35" s="69"/>
      <c r="C35" s="69"/>
      <c r="D35" s="69"/>
      <c r="E35" s="69"/>
      <c r="F35" s="69"/>
      <c r="G35" s="751"/>
      <c r="H35" s="751"/>
      <c r="I35" s="752"/>
    </row>
    <row r="36" spans="1:9" x14ac:dyDescent="0.25">
      <c r="A36" s="1027" t="s">
        <v>511</v>
      </c>
      <c r="B36" s="1028"/>
      <c r="C36" s="1028"/>
      <c r="D36" s="1028"/>
      <c r="E36" s="1028"/>
      <c r="F36" s="1028"/>
      <c r="G36" s="1028"/>
      <c r="H36" s="1028"/>
      <c r="I36" s="1029"/>
    </row>
    <row r="37" spans="1:9" x14ac:dyDescent="0.25">
      <c r="A37" s="1030"/>
      <c r="B37" s="1031"/>
      <c r="C37" s="1031"/>
      <c r="D37" s="1031"/>
      <c r="E37" s="1031"/>
      <c r="F37" s="1031"/>
      <c r="G37" s="1031"/>
      <c r="H37" s="1031"/>
      <c r="I37" s="1032"/>
    </row>
    <row r="38" spans="1:9" ht="21" customHeight="1" thickBot="1" x14ac:dyDescent="0.3">
      <c r="A38" s="1033"/>
      <c r="B38" s="1034"/>
      <c r="C38" s="1034"/>
      <c r="D38" s="1034"/>
      <c r="E38" s="1034"/>
      <c r="F38" s="1034"/>
      <c r="G38" s="1034"/>
      <c r="H38" s="1034"/>
      <c r="I38" s="1035"/>
    </row>
    <row r="39" spans="1:9" ht="19.5" thickBot="1" x14ac:dyDescent="0.35">
      <c r="A39" s="785" t="s">
        <v>140</v>
      </c>
      <c r="B39" s="772"/>
      <c r="C39" s="772"/>
      <c r="D39" s="772"/>
      <c r="E39" s="772"/>
      <c r="F39" s="772"/>
      <c r="G39" s="786"/>
      <c r="H39" s="850">
        <f>+H34</f>
        <v>24.474073512622795</v>
      </c>
      <c r="I39" s="787"/>
    </row>
    <row r="40" spans="1:9" x14ac:dyDescent="0.25">
      <c r="A40" s="78"/>
      <c r="B40" s="69"/>
      <c r="C40" s="69"/>
      <c r="D40" s="69"/>
      <c r="E40" s="69"/>
      <c r="F40" s="69"/>
      <c r="G40" s="751"/>
      <c r="H40" s="751"/>
      <c r="I40" s="752"/>
    </row>
    <row r="41" spans="1:9" ht="18.75" x14ac:dyDescent="0.3">
      <c r="A41" s="756" t="s">
        <v>139</v>
      </c>
      <c r="B41" s="770"/>
      <c r="C41" s="770"/>
      <c r="D41" s="770"/>
      <c r="E41" s="771"/>
      <c r="F41" s="770"/>
      <c r="G41" s="797">
        <f>+H41+I41</f>
        <v>338.79408356596633</v>
      </c>
      <c r="H41" s="797">
        <f>+H34-H39</f>
        <v>0</v>
      </c>
      <c r="I41" s="798">
        <f>+I34-I39</f>
        <v>338.79408356596633</v>
      </c>
    </row>
    <row r="42" spans="1:9" ht="15.75" thickBot="1" x14ac:dyDescent="0.3">
      <c r="A42" s="78"/>
      <c r="B42" s="69"/>
      <c r="C42" s="69"/>
      <c r="D42" s="69"/>
      <c r="E42" s="69"/>
      <c r="F42" s="69"/>
      <c r="G42" s="751"/>
      <c r="H42" s="751"/>
      <c r="I42" s="752"/>
    </row>
    <row r="43" spans="1:9" x14ac:dyDescent="0.25">
      <c r="A43" s="1036" t="s">
        <v>512</v>
      </c>
      <c r="B43" s="1037"/>
      <c r="C43" s="1037"/>
      <c r="D43" s="1037"/>
      <c r="E43" s="1037"/>
      <c r="F43" s="1037"/>
      <c r="G43" s="1037"/>
      <c r="H43" s="1037"/>
      <c r="I43" s="1038"/>
    </row>
    <row r="44" spans="1:9" x14ac:dyDescent="0.25">
      <c r="A44" s="1039"/>
      <c r="B44" s="1040"/>
      <c r="C44" s="1040"/>
      <c r="D44" s="1040"/>
      <c r="E44" s="1040"/>
      <c r="F44" s="1040"/>
      <c r="G44" s="1040"/>
      <c r="H44" s="1040"/>
      <c r="I44" s="1041"/>
    </row>
    <row r="45" spans="1:9" ht="15.75" thickBot="1" x14ac:dyDescent="0.3">
      <c r="A45" s="1042"/>
      <c r="B45" s="1043"/>
      <c r="C45" s="1043"/>
      <c r="D45" s="1043"/>
      <c r="E45" s="1043"/>
      <c r="F45" s="1043"/>
      <c r="G45" s="1043"/>
      <c r="H45" s="1043"/>
      <c r="I45" s="1044"/>
    </row>
    <row r="46" spans="1:9" ht="19.5" thickBot="1" x14ac:dyDescent="0.35">
      <c r="A46" s="788" t="s">
        <v>141</v>
      </c>
      <c r="B46" s="789"/>
      <c r="C46" s="789"/>
      <c r="D46" s="789"/>
      <c r="E46" s="790"/>
      <c r="F46" s="789"/>
      <c r="G46" s="791"/>
      <c r="H46" s="791"/>
      <c r="I46" s="851">
        <f>+I41</f>
        <v>338.79408356596633</v>
      </c>
    </row>
    <row r="47" spans="1:9" ht="15.75" thickBot="1" x14ac:dyDescent="0.3">
      <c r="A47" s="78"/>
      <c r="B47" s="69"/>
      <c r="C47" s="69"/>
      <c r="D47" s="69"/>
      <c r="E47" s="69"/>
      <c r="F47" s="69"/>
      <c r="G47" s="751"/>
      <c r="H47" s="751"/>
      <c r="I47" s="752"/>
    </row>
    <row r="48" spans="1:9" ht="27" thickBot="1" x14ac:dyDescent="0.45">
      <c r="A48" s="780" t="s">
        <v>171</v>
      </c>
      <c r="B48" s="781"/>
      <c r="C48" s="781"/>
      <c r="D48" s="781"/>
      <c r="E48" s="782"/>
      <c r="F48" s="781"/>
      <c r="G48" s="783"/>
      <c r="H48" s="1001">
        <f>+H39+I46</f>
        <v>363.26815707858913</v>
      </c>
      <c r="I48" s="1002"/>
    </row>
    <row r="49" spans="1:9" x14ac:dyDescent="0.25">
      <c r="A49" s="792"/>
      <c r="B49" s="792"/>
      <c r="C49" s="792"/>
      <c r="D49" s="792"/>
      <c r="E49" s="792"/>
      <c r="F49" s="792"/>
      <c r="G49" s="792"/>
      <c r="H49" s="792"/>
      <c r="I49" s="792"/>
    </row>
    <row r="50" spans="1:9" x14ac:dyDescent="0.25">
      <c r="A50" s="793" t="s">
        <v>46</v>
      </c>
      <c r="B50" s="794"/>
      <c r="C50" s="794"/>
      <c r="D50" s="794"/>
      <c r="E50" s="795"/>
      <c r="F50" s="794"/>
      <c r="G50" s="852">
        <f>+H50+I50</f>
        <v>0</v>
      </c>
      <c r="H50" s="852">
        <f>+H41-H46</f>
        <v>0</v>
      </c>
      <c r="I50" s="852">
        <f>+I41-I46</f>
        <v>0</v>
      </c>
    </row>
    <row r="51" spans="1:9" x14ac:dyDescent="0.25">
      <c r="A51" s="793" t="s">
        <v>47</v>
      </c>
      <c r="B51" s="794"/>
      <c r="C51" s="794"/>
      <c r="D51" s="794"/>
      <c r="E51" s="795"/>
      <c r="F51" s="794"/>
      <c r="G51" s="852">
        <f>+H51+I51</f>
        <v>0</v>
      </c>
      <c r="H51" s="852">
        <f>+H15-H22-H30-H39</f>
        <v>0</v>
      </c>
      <c r="I51" s="852">
        <f>+I15-I22-I30-I39-I46</f>
        <v>0</v>
      </c>
    </row>
  </sheetData>
  <sheetProtection sheet="1" objects="1" scenarios="1"/>
  <mergeCells count="7">
    <mergeCell ref="H48:I48"/>
    <mergeCell ref="A15:F15"/>
    <mergeCell ref="A21:F21"/>
    <mergeCell ref="A17:I20"/>
    <mergeCell ref="A26:I28"/>
    <mergeCell ref="A36:I38"/>
    <mergeCell ref="A43:I45"/>
  </mergeCells>
  <conditionalFormatting sqref="A25">
    <cfRule type="containsErrors" dxfId="26" priority="3">
      <formula>ISERROR(A25)</formula>
    </cfRule>
  </conditionalFormatting>
  <conditionalFormatting sqref="G50:I51">
    <cfRule type="expression" dxfId="25" priority="1">
      <formula>OR(G50&lt;-0.0009,G50&gt;0.0009)</formula>
    </cfRule>
  </conditionalFormatting>
  <pageMargins left="0.7" right="0.7" top="0.78740157499999996" bottom="0.78740157499999996" header="0.3" footer="0.3"/>
  <pageSetup paperSize="9" scale="70" fitToWidth="0" fitToHeight="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Stammdaten</vt:lpstr>
      <vt:lpstr>Erg.-Übersicht</vt:lpstr>
      <vt:lpstr>A Flächen</vt:lpstr>
      <vt:lpstr>B_1 Geb. Kaltmiete</vt:lpstr>
      <vt:lpstr>B_2 Sonder-Infrastr.</vt:lpstr>
      <vt:lpstr>C_1 Nebenk.</vt:lpstr>
      <vt:lpstr>C_2 NK Sonder-Infrastr.</vt:lpstr>
      <vt:lpstr>D Ausstatt.</vt:lpstr>
      <vt:lpstr>E Mietber.</vt:lpstr>
      <vt:lpstr>Zimmer-Kat.</vt:lpstr>
      <vt:lpstr>Anl. Verw.kosten 2. BV</vt:lpstr>
      <vt:lpstr>'A Flächen'!Druckbereich</vt:lpstr>
      <vt:lpstr>'B_1 Geb. Kaltmiete'!Druckbereich</vt:lpstr>
      <vt:lpstr>'B_2 Sonder-Infrastr.'!Druckbereich</vt:lpstr>
      <vt:lpstr>'C_1 Nebenk.'!Druckbereich</vt:lpstr>
      <vt:lpstr>'C_2 NK Sonder-Infrastr.'!Druckbereich</vt:lpstr>
      <vt:lpstr>'D Ausstatt.'!Druckbereich</vt:lpstr>
      <vt:lpstr>'E Mietber.'!Druckbereich</vt:lpstr>
      <vt:lpstr>'Erg.-Übersicht'!Druckbereich</vt:lpstr>
      <vt:lpstr>Stammdaten!Druckbereich</vt:lpstr>
      <vt:lpstr>'Zimmer-Kat.'!Druckbereich</vt:lpstr>
    </vt:vector>
  </TitlesOfParts>
  <Company>Stiftung Liebenau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Schyra, Matthias</dc:creator>
  <cp:lastModifiedBy>Schyra, Matthias</cp:lastModifiedBy>
  <cp:lastPrinted>2019-03-27T12:08:13Z</cp:lastPrinted>
  <dcterms:created xsi:type="dcterms:W3CDTF">2017-07-26T12:10:48Z</dcterms:created>
  <dcterms:modified xsi:type="dcterms:W3CDTF">2019-03-27T12:40:35Z</dcterms:modified>
</cp:coreProperties>
</file>